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50FA7E96-81DC-4B10-B00F-43E4687F62B9}" xr6:coauthVersionLast="45" xr6:coauthVersionMax="45" xr10:uidLastSave="{00000000-0000-0000-0000-000000000000}"/>
  <bookViews>
    <workbookView xWindow="-120" yWindow="-120" windowWidth="29040" windowHeight="15840" tabRatio="700" activeTab="1" xr2:uid="{00000000-000D-0000-FFFF-FFFF00000000}"/>
  </bookViews>
  <sheets>
    <sheet name="титульный " sheetId="5" r:id="rId1"/>
    <sheet name="Раздел 1" sheetId="21" r:id="rId2"/>
    <sheet name="Раздел 2" sheetId="22" r:id="rId3"/>
  </sheets>
  <definedNames>
    <definedName name="_xlnm.Print_Titles" localSheetId="1">'Раздел 1'!$3:$4</definedName>
    <definedName name="_xlnm.Print_Titles" localSheetId="2">'Раздел 2'!$3:$4</definedName>
    <definedName name="_xlnm.Print_Area" localSheetId="1">'Раздел 1'!$A$1:$H$160</definedName>
    <definedName name="_xlnm.Print_Area" localSheetId="0">'титульный '!$A$1:$M$20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5" i="21" l="1"/>
  <c r="E64" i="21"/>
  <c r="E128" i="21"/>
  <c r="E125" i="21"/>
  <c r="E13" i="21" l="1"/>
  <c r="E145" i="21"/>
  <c r="E134" i="21"/>
  <c r="E117" i="21" l="1"/>
  <c r="E51" i="21"/>
  <c r="E59" i="21"/>
  <c r="E54" i="21"/>
  <c r="E135" i="21"/>
  <c r="E146" i="21"/>
  <c r="E120" i="21"/>
  <c r="E149" i="21" l="1"/>
  <c r="E129" i="21"/>
  <c r="G128" i="21"/>
  <c r="E87" i="21" l="1"/>
  <c r="E42" i="21"/>
  <c r="E56" i="21"/>
  <c r="E28" i="21" l="1"/>
  <c r="E137" i="21"/>
  <c r="E119" i="21"/>
  <c r="E58" i="21"/>
  <c r="E53" i="21"/>
  <c r="E50" i="21"/>
  <c r="E21" i="21" l="1"/>
  <c r="E143" i="21"/>
  <c r="E14" i="21" l="1"/>
  <c r="E78" i="21"/>
  <c r="E23" i="22" l="1"/>
  <c r="E136" i="21"/>
  <c r="E126" i="21" l="1"/>
  <c r="G13" i="21"/>
  <c r="F13" i="21"/>
  <c r="F128" i="21"/>
  <c r="G125" i="21"/>
  <c r="F125" i="21"/>
  <c r="F85" i="21"/>
  <c r="F76" i="21" s="1"/>
  <c r="G85" i="21"/>
  <c r="G76" i="21" s="1"/>
  <c r="E85" i="21"/>
  <c r="E76" i="21" s="1"/>
  <c r="F84" i="21"/>
  <c r="G84" i="21"/>
  <c r="E84" i="21"/>
  <c r="F89" i="21"/>
  <c r="G89" i="21"/>
  <c r="E89" i="21"/>
  <c r="F23" i="22"/>
  <c r="G23" i="22"/>
  <c r="I9" i="22" l="1"/>
  <c r="E109" i="21"/>
  <c r="F109" i="21"/>
  <c r="G109" i="21"/>
  <c r="F147" i="21"/>
  <c r="G147" i="21"/>
  <c r="E147" i="21"/>
  <c r="F145" i="21"/>
  <c r="G145" i="21"/>
  <c r="F141" i="21"/>
  <c r="G141" i="21"/>
  <c r="E141" i="21"/>
  <c r="F129" i="21"/>
  <c r="G129" i="21"/>
  <c r="F126" i="21"/>
  <c r="G126" i="21"/>
  <c r="F120" i="21"/>
  <c r="G120" i="21"/>
  <c r="F119" i="21"/>
  <c r="G119" i="21"/>
  <c r="F115" i="21"/>
  <c r="G115" i="21"/>
  <c r="F113" i="21"/>
  <c r="G113" i="21"/>
  <c r="E113" i="21"/>
  <c r="F80" i="21"/>
  <c r="G80" i="21"/>
  <c r="E80" i="21"/>
  <c r="G77" i="21"/>
  <c r="F77" i="21"/>
  <c r="E77" i="21"/>
  <c r="G22" i="22" l="1"/>
  <c r="E115" i="21"/>
  <c r="E22" i="22"/>
  <c r="E110" i="21"/>
  <c r="F110" i="21"/>
  <c r="F12" i="22"/>
  <c r="F111" i="21"/>
  <c r="F22" i="22"/>
  <c r="G111" i="21"/>
  <c r="G110" i="21"/>
  <c r="G12" i="22"/>
  <c r="E111" i="21"/>
  <c r="F121" i="21"/>
  <c r="G121" i="21"/>
  <c r="E121" i="21"/>
  <c r="E100" i="21" l="1"/>
  <c r="E108" i="21"/>
  <c r="F124" i="21"/>
  <c r="G124" i="21"/>
  <c r="E124" i="21"/>
  <c r="G144" i="21"/>
  <c r="F144" i="21"/>
  <c r="E144" i="21"/>
  <c r="E127" i="21"/>
  <c r="F132" i="21"/>
  <c r="G132" i="21"/>
  <c r="E132" i="21"/>
  <c r="F127" i="21"/>
  <c r="G127" i="21"/>
  <c r="E159" i="21"/>
  <c r="E9" i="22" l="1"/>
  <c r="E12" i="22" s="1"/>
  <c r="G15" i="22"/>
  <c r="F15" i="22"/>
  <c r="E15" i="22"/>
  <c r="F49" i="21" l="1"/>
  <c r="G49" i="21"/>
  <c r="E49" i="21"/>
  <c r="F48" i="21"/>
  <c r="G48" i="21"/>
  <c r="F97" i="21" l="1"/>
  <c r="F31" i="21" s="1"/>
  <c r="G97" i="21"/>
  <c r="G31" i="21" s="1"/>
  <c r="F98" i="21"/>
  <c r="G98" i="21"/>
  <c r="F100" i="21"/>
  <c r="G100" i="21"/>
  <c r="E98" i="21"/>
  <c r="E97" i="21"/>
  <c r="E31" i="21" s="1"/>
  <c r="F75" i="21"/>
  <c r="G75" i="21"/>
  <c r="E75" i="21"/>
  <c r="F61" i="21"/>
  <c r="G61" i="21"/>
  <c r="F62" i="21"/>
  <c r="G62" i="21"/>
  <c r="E62" i="21"/>
  <c r="E61" i="21"/>
  <c r="E48" i="21"/>
  <c r="F47" i="21"/>
  <c r="G47" i="21"/>
  <c r="E47" i="21"/>
  <c r="F39" i="21"/>
  <c r="G39" i="21"/>
  <c r="F40" i="21"/>
  <c r="F37" i="21" s="1"/>
  <c r="G40" i="21"/>
  <c r="G37" i="21" s="1"/>
  <c r="E40" i="21"/>
  <c r="E39" i="21"/>
  <c r="G34" i="21" l="1"/>
  <c r="F34" i="21"/>
  <c r="E36" i="21"/>
  <c r="E32" i="21" s="1"/>
  <c r="E37" i="21"/>
  <c r="E34" i="21" s="1"/>
  <c r="G36" i="21"/>
  <c r="G32" i="21" s="1"/>
  <c r="F36" i="21"/>
  <c r="F32" i="21" s="1"/>
  <c r="F118" i="21" l="1"/>
  <c r="G118" i="21"/>
  <c r="E118" i="21"/>
  <c r="F112" i="21"/>
  <c r="G112" i="21"/>
  <c r="E112" i="21"/>
  <c r="F108" i="21"/>
  <c r="G108" i="21"/>
  <c r="F105" i="21"/>
  <c r="G105" i="21"/>
  <c r="F104" i="21"/>
  <c r="F99" i="21" s="1"/>
  <c r="F33" i="21" s="1"/>
  <c r="F30" i="21" s="1"/>
  <c r="G104" i="21"/>
  <c r="G99" i="21" s="1"/>
  <c r="G33" i="21" s="1"/>
  <c r="G30" i="21" s="1"/>
  <c r="E104" i="21"/>
  <c r="E105" i="21"/>
  <c r="F96" i="21"/>
  <c r="J34" i="22" s="1"/>
  <c r="G96" i="21"/>
  <c r="K34" i="22" s="1"/>
  <c r="F83" i="21"/>
  <c r="G83" i="21"/>
  <c r="E83" i="21"/>
  <c r="E74" i="21" s="1"/>
  <c r="F86" i="21"/>
  <c r="G86" i="21"/>
  <c r="E86" i="21"/>
  <c r="F57" i="21"/>
  <c r="G57" i="21"/>
  <c r="E57" i="21"/>
  <c r="F63" i="21"/>
  <c r="G63" i="21"/>
  <c r="E63" i="21"/>
  <c r="F52" i="21"/>
  <c r="G52" i="21"/>
  <c r="E52" i="21"/>
  <c r="F55" i="21"/>
  <c r="G55" i="21"/>
  <c r="E55" i="21"/>
  <c r="F46" i="21"/>
  <c r="G46" i="21"/>
  <c r="E46" i="21"/>
  <c r="F44" i="21"/>
  <c r="G44" i="21"/>
  <c r="E44" i="21"/>
  <c r="F41" i="21"/>
  <c r="G41" i="21"/>
  <c r="E41" i="21"/>
  <c r="F38" i="21"/>
  <c r="G38" i="21"/>
  <c r="E38" i="21"/>
  <c r="F35" i="21"/>
  <c r="G35" i="21"/>
  <c r="E35" i="21"/>
  <c r="E164" i="21" l="1"/>
  <c r="F164" i="21"/>
  <c r="F165" i="21" s="1"/>
  <c r="G164" i="21"/>
  <c r="G165" i="21" s="1"/>
  <c r="E103" i="21"/>
  <c r="E99" i="21"/>
  <c r="E31" i="22"/>
  <c r="E29" i="22" s="1"/>
  <c r="G14" i="22"/>
  <c r="F14" i="22"/>
  <c r="E14" i="22"/>
  <c r="E33" i="21" l="1"/>
  <c r="E30" i="21" s="1"/>
  <c r="E96" i="21"/>
  <c r="I34" i="22" s="1"/>
  <c r="F32" i="22"/>
  <c r="F29" i="22" s="1"/>
  <c r="G33" i="22"/>
  <c r="G29" i="22" s="1"/>
  <c r="E21" i="22"/>
  <c r="E165" i="21" l="1"/>
  <c r="G21" i="22"/>
  <c r="E11" i="22" l="1"/>
  <c r="E60" i="21"/>
  <c r="F18" i="21"/>
  <c r="G18" i="21"/>
  <c r="E18" i="21"/>
  <c r="E26" i="22" l="1"/>
  <c r="E24" i="22" s="1"/>
  <c r="E10" i="22"/>
  <c r="E6" i="22" s="1"/>
  <c r="I33" i="22" s="1"/>
  <c r="G60" i="21"/>
  <c r="F60" i="21"/>
  <c r="G140" i="21"/>
  <c r="F140" i="21"/>
  <c r="G139" i="21"/>
  <c r="F139" i="21"/>
  <c r="F130" i="21"/>
  <c r="G130" i="21"/>
  <c r="F21" i="22" l="1"/>
  <c r="F11" i="22"/>
  <c r="F27" i="22" s="1"/>
  <c r="F24" i="22" s="1"/>
  <c r="G11" i="22"/>
  <c r="G28" i="22" s="1"/>
  <c r="G24" i="22" l="1"/>
  <c r="G10" i="22"/>
  <c r="G6" i="22" s="1"/>
  <c r="K33" i="22" s="1"/>
  <c r="F10" i="22"/>
  <c r="F6" i="22" s="1"/>
  <c r="J33" i="22" s="1"/>
  <c r="F103" i="21"/>
  <c r="G103" i="21"/>
  <c r="F9" i="21"/>
  <c r="G9" i="21"/>
  <c r="E9" i="21"/>
  <c r="F28" i="21" l="1"/>
  <c r="F26" i="21" s="1"/>
  <c r="G28" i="21"/>
  <c r="G26" i="21" s="1"/>
  <c r="E26" i="21"/>
  <c r="F22" i="21"/>
  <c r="G22" i="21"/>
  <c r="E22" i="21"/>
  <c r="G12" i="21"/>
  <c r="F12" i="21"/>
  <c r="E12" i="21"/>
  <c r="E8" i="21" l="1"/>
  <c r="E161" i="21" s="1"/>
  <c r="F8" i="21"/>
  <c r="G8" i="21"/>
  <c r="E67" i="21"/>
  <c r="F67" i="21"/>
  <c r="G67" i="21"/>
  <c r="F74" i="21"/>
  <c r="G74" i="21"/>
  <c r="E94" i="21"/>
  <c r="E92" i="21" s="1"/>
  <c r="F94" i="21"/>
  <c r="F92" i="21" s="1"/>
  <c r="G94" i="21"/>
  <c r="G92" i="21" s="1"/>
  <c r="H30" i="21"/>
  <c r="E151" i="21"/>
  <c r="F151" i="21"/>
  <c r="G151" i="21"/>
  <c r="F159" i="21"/>
  <c r="G159" i="21"/>
  <c r="E154" i="21"/>
  <c r="F154" i="21"/>
  <c r="G154" i="21"/>
  <c r="F161" i="21" l="1"/>
  <c r="G161" i="21"/>
</calcChain>
</file>

<file path=xl/sharedStrings.xml><?xml version="1.0" encoding="utf-8"?>
<sst xmlns="http://schemas.openxmlformats.org/spreadsheetml/2006/main" count="366" uniqueCount="213">
  <si>
    <t>в том числе:</t>
  </si>
  <si>
    <t>Наименование показателя</t>
  </si>
  <si>
    <t>из них:</t>
  </si>
  <si>
    <t>Код строки</t>
  </si>
  <si>
    <t>субсидии на осуществление капитальных вложений</t>
  </si>
  <si>
    <t>х</t>
  </si>
  <si>
    <t>выплата стипендий</t>
  </si>
  <si>
    <t>УТВЕРЖДАЮ</t>
  </si>
  <si>
    <t xml:space="preserve">           </t>
  </si>
  <si>
    <t xml:space="preserve"> </t>
  </si>
  <si>
    <t>КОДЫ</t>
  </si>
  <si>
    <t>Единица измерения: руб.</t>
  </si>
  <si>
    <t>по ОКЕИ</t>
  </si>
  <si>
    <t>Год начала закупки</t>
  </si>
  <si>
    <t>0001</t>
  </si>
  <si>
    <t xml:space="preserve">Дата </t>
  </si>
  <si>
    <t>по Сводному реестру</t>
  </si>
  <si>
    <t>глава по БК</t>
  </si>
  <si>
    <t>ИНН</t>
  </si>
  <si>
    <t>КПП</t>
  </si>
  <si>
    <t>от "_____"___________________20_____ г.</t>
  </si>
  <si>
    <r>
      <t xml:space="preserve">Наименование главного распорядителя   </t>
    </r>
    <r>
      <rPr>
        <b/>
        <sz val="14"/>
        <color theme="1"/>
        <rFont val="Times New Roman"/>
        <family val="1"/>
        <charset val="204"/>
      </rPr>
      <t>Управление по физической культуре и спорту Администрации городского округа город Уфа республики Башкортостан</t>
    </r>
  </si>
  <si>
    <t xml:space="preserve">План финансово-хозяйственной деятельности                                                                                                   на 2020 год  и на плановый период 2021 и 2022 годов
</t>
  </si>
  <si>
    <t>Раздел 1. Поступления и выплаты</t>
  </si>
  <si>
    <t>Код по бюджетной классификации Российской Федерации</t>
  </si>
  <si>
    <t>Аналитический код</t>
  </si>
  <si>
    <t>Сумма</t>
  </si>
  <si>
    <t>за пределами планового периода</t>
  </si>
  <si>
    <t>на 2020 г. текущий финансовый год</t>
  </si>
  <si>
    <t>на 2021 г. первый год планового периода</t>
  </si>
  <si>
    <t>на 2022 г. второй год планового периода</t>
  </si>
  <si>
    <t>Остаток средств на начало текущего финансового года</t>
  </si>
  <si>
    <t>Остаток средств на конец текущего финансового года</t>
  </si>
  <si>
    <t>Доходы, всего:</t>
  </si>
  <si>
    <t>0002</t>
  </si>
  <si>
    <t>1000</t>
  </si>
  <si>
    <t>1100</t>
  </si>
  <si>
    <t>1200</t>
  </si>
  <si>
    <t>в том числе:                                                          доходы от собственности, всего</t>
  </si>
  <si>
    <t>1210</t>
  </si>
  <si>
    <t>доходы от оказания усдуг (выполнения работ) на платной основе и от иной приносящей доход деятельности</t>
  </si>
  <si>
    <t>1230</t>
  </si>
  <si>
    <t>возмещение расходов, понесенных в связи с эксплуатацией муниципального имущества, закрепленного на праве оперативного управления</t>
  </si>
  <si>
    <t>1240</t>
  </si>
  <si>
    <t>доходы от штрафов, пеней, иных сумм принудительного изъятия, всего</t>
  </si>
  <si>
    <t>1300</t>
  </si>
  <si>
    <t>безвозмездные денежные поступления, всего</t>
  </si>
  <si>
    <t>1400</t>
  </si>
  <si>
    <t>прочие доходы, всего</t>
  </si>
  <si>
    <t>целевые субсидии</t>
  </si>
  <si>
    <t>доходы от оказания услуг, работ, компенсации затрат учреждений, всего</t>
  </si>
  <si>
    <t>1500</t>
  </si>
  <si>
    <t>1510</t>
  </si>
  <si>
    <t>1520</t>
  </si>
  <si>
    <t>доходы от операций с активами, всего</t>
  </si>
  <si>
    <t>1900</t>
  </si>
  <si>
    <t>прочие поступления, всего</t>
  </si>
  <si>
    <t>1980</t>
  </si>
  <si>
    <t>из них:                                                     увеличение остатков денежных средств за счет возврата дебиторской задолженности прошлых лет</t>
  </si>
  <si>
    <t>1981</t>
  </si>
  <si>
    <t>Расходы, всего</t>
  </si>
  <si>
    <t>иные выплаты персоналу учреждений, за исключением фонда оплаты труда</t>
  </si>
  <si>
    <t>иные выплаты, за исключением фонда оплаты труда учреждениц, лицам, привлекаемым согласно законодательству для выполнения отдельных полномочий</t>
  </si>
  <si>
    <t>2000</t>
  </si>
  <si>
    <t>2100</t>
  </si>
  <si>
    <t>2110</t>
  </si>
  <si>
    <t>2120</t>
  </si>
  <si>
    <t>2130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</si>
  <si>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</si>
  <si>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</si>
  <si>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2141</t>
  </si>
  <si>
    <t>на иные выплаты работникам</t>
  </si>
  <si>
    <t>2142</t>
  </si>
  <si>
    <t>социальное обеспечение и иные выплаты населению, всего</t>
  </si>
  <si>
    <t>в том числе:                                             социальные выплаты гражданам, кроме публичных нормативных социальных выплат</t>
  </si>
  <si>
    <t>2200</t>
  </si>
  <si>
    <t>2210</t>
  </si>
  <si>
    <t>приобретение товаров, работ, услуг в пользу граждан в целях их социального обеспечения</t>
  </si>
  <si>
    <t>2211</t>
  </si>
  <si>
    <t>2212</t>
  </si>
  <si>
    <t>премии и гранты</t>
  </si>
  <si>
    <t>иные выплаты населению</t>
  </si>
  <si>
    <t>уплата налогов, сборов и иных платежей, всего</t>
  </si>
  <si>
    <t>2220</t>
  </si>
  <si>
    <t>2230</t>
  </si>
  <si>
    <t>2240</t>
  </si>
  <si>
    <t>2300</t>
  </si>
  <si>
    <t>2310</t>
  </si>
  <si>
    <t>2320</t>
  </si>
  <si>
    <t>прочие налоги, сборы</t>
  </si>
  <si>
    <t>уплата иных платежей</t>
  </si>
  <si>
    <t>2330</t>
  </si>
  <si>
    <t>безвозмездные перечисления организациям и физическим лицам, всего</t>
  </si>
  <si>
    <t>прочие выплаты (кроме выплат на закупку товаров, работ, услуг)</t>
  </si>
  <si>
    <t>исполнение судебных актов Российской Федерации и мировых соглашений по возмещению вреда</t>
  </si>
  <si>
    <t>расходы на закупку товаров, работ, услуг, всего</t>
  </si>
  <si>
    <t>в том числе закупку научно-исследовательских и опытно-конструкторских работ</t>
  </si>
  <si>
    <t>закупку товаров, работ, услуг в сфере информационно-коммуникационных технологий</t>
  </si>
  <si>
    <t>закупку товаров, работ, услуг в целях капитального ремонта государственного (муниципального) имущества</t>
  </si>
  <si>
    <t>прочую закупку товаров, работ и услуг, всего</t>
  </si>
  <si>
    <t>капитальные вложения в объекты государственной (муницпальной) собственности, всего</t>
  </si>
  <si>
    <t>в том числе: приобретение объектов недвижимого имущества муниципальными учреждениями</t>
  </si>
  <si>
    <t>строительство (реконструкция) объектов недвижимого имущества муниципальными учреждениями</t>
  </si>
  <si>
    <t>Выплаты, уменьшающие доход, всего</t>
  </si>
  <si>
    <t>налог на прибыль</t>
  </si>
  <si>
    <t>налог на добавленную стоимость</t>
  </si>
  <si>
    <t>прочие налоги, уменьшающие доход</t>
  </si>
  <si>
    <t>Прочие выплаты, всего</t>
  </si>
  <si>
    <t>из них: возврат в бюджет средств субсидии</t>
  </si>
  <si>
    <t>из них:                                                                пособия, компенсации иные социальные выплаты гражданам, кроме публичных нормативных обязательств</t>
  </si>
  <si>
    <t>из них:                                                                        налог на имущество организаций и земельный налог</t>
  </si>
  <si>
    <t>2400</t>
  </si>
  <si>
    <t>из них:                                                            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</si>
  <si>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2410</t>
  </si>
  <si>
    <t>2500</t>
  </si>
  <si>
    <t>2520</t>
  </si>
  <si>
    <t>2600</t>
  </si>
  <si>
    <t>2610</t>
  </si>
  <si>
    <t>2620</t>
  </si>
  <si>
    <t>2630</t>
  </si>
  <si>
    <t>2640</t>
  </si>
  <si>
    <t>2650</t>
  </si>
  <si>
    <t>2651</t>
  </si>
  <si>
    <t>2652</t>
  </si>
  <si>
    <t>3000</t>
  </si>
  <si>
    <t>3010</t>
  </si>
  <si>
    <t>3020</t>
  </si>
  <si>
    <t>3030</t>
  </si>
  <si>
    <t>610(620)</t>
  </si>
  <si>
    <t>в том числе:                                                              на выплаты персоналу, всего</t>
  </si>
  <si>
    <t>в том числе:                                                                  фонд оплаты труда учреждений</t>
  </si>
  <si>
    <t>Раздел 2. Сведения по выплатам на закупки товаров, работ, услуг</t>
  </si>
  <si>
    <t>№ п/п</t>
  </si>
  <si>
    <t>Коды строк</t>
  </si>
  <si>
    <t>Выплаты на закупку товаров, работ, услуг, всего</t>
  </si>
  <si>
    <t>1.1.</t>
  </si>
  <si>
    <t>в том числе:                                                                      по контрактам (договорам), заключенным до начала текущего финансового года без применения норм Федерального закона от 5 апреля 2013 г. №44-ФЗ "О контрактной системе в сфере закупок товаров, работ, услуг для обеспечения государственных и муниципальных нужд" (далее-Федеральный закон № 44-ФЗ) и Федерального закона от 18 июля 2011 г. №2223-ФЗ "О закупках товаров, работ, услуг отдельными видами юридических лиц" (далее - Федеральный закон № 223-ФЗ)</t>
  </si>
  <si>
    <t>1.2.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</si>
  <si>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</si>
  <si>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1.3.</t>
  </si>
  <si>
    <t>по контрактам (договорам), заключенным до начала текущего финансового года с учетом требований  Федерального закона № 44-ФЗ и Федерального закона № 223-ФЗ</t>
  </si>
  <si>
    <t>1.4.</t>
  </si>
  <si>
    <t>в том числе:                                                                       за счет субсидий, предоставляемых на финансовое обеспечеие выполнения муниципального задания</t>
  </si>
  <si>
    <t>1.4.1.</t>
  </si>
  <si>
    <t>1.4.1.1.</t>
  </si>
  <si>
    <t>1.4.1.2.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</si>
  <si>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</si>
  <si>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в том числе:                                                                                    в соответствии с Федеральным законом № 44-ФЗ</t>
  </si>
  <si>
    <t>в соответствии с Федеральным законом № 223-ФЗ</t>
  </si>
  <si>
    <t xml:space="preserve">1.4.2. </t>
  </si>
  <si>
    <t xml:space="preserve">за счет субсидий, предоставляемых бюджетным и автономным учреждениям на иные цели </t>
  </si>
  <si>
    <t>1.4.2.1.</t>
  </si>
  <si>
    <t>1.4.2.2.</t>
  </si>
  <si>
    <t>1.4.3.</t>
  </si>
  <si>
    <t>за счет субсидий, предоставляемых на осуществление капитальных вложений</t>
  </si>
  <si>
    <t>1.4.4.</t>
  </si>
  <si>
    <t>за счет средств обязательного медицинского страхования</t>
  </si>
  <si>
    <t>1.4.5.</t>
  </si>
  <si>
    <t>1.4.4.1.</t>
  </si>
  <si>
    <t>1.4.4.2.</t>
  </si>
  <si>
    <t>1.4.5.1.</t>
  </si>
  <si>
    <t>1.4.5.2.</t>
  </si>
  <si>
    <t>2.</t>
  </si>
  <si>
    <t>в том числе по году начала закупки:</t>
  </si>
  <si>
    <t>3.</t>
  </si>
  <si>
    <t>в том числе:                                                       субсидии на финансовое обеспечение выполнения муниципального задания</t>
  </si>
  <si>
    <t>поступления текущего характера от иных резидентов (за исключением сектора государственного управления и организаций государственного сектора</t>
  </si>
  <si>
    <t>в том числе:                                                                        на иные выплаты по оплате труда</t>
  </si>
  <si>
    <t>услуги связи</t>
  </si>
  <si>
    <t>транспортные услуги</t>
  </si>
  <si>
    <t>коммунальные услуги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</si>
  <si>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</si>
  <si>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работы, услуги по содержанию имущества</t>
  </si>
  <si>
    <t>прочие работы, услуги</t>
  </si>
  <si>
    <t>страхование</t>
  </si>
  <si>
    <t>услуги, работы для целей капитальных вложений</t>
  </si>
  <si>
    <t>налоги, пошлины и сборы</t>
  </si>
  <si>
    <t>штрафы за нарушение законодательства о налогах и сборах, законодательства о страховых взносах</t>
  </si>
  <si>
    <t>увеличение стоимости основных средств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</si>
  <si>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</si>
  <si>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</si>
  <si>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</si>
  <si>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</si>
  <si>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</si>
  <si>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(материалов)</t>
  </si>
  <si>
    <t>Увеличение стоимости прочих материальных запасов однократного применения</t>
  </si>
  <si>
    <t>доходы от операционной аренды</t>
  </si>
  <si>
    <t>заработная плата</t>
  </si>
  <si>
    <t>социальные пособия и компенсации персоналу в денежной форме</t>
  </si>
  <si>
    <t>прочие несоциальные выплаты персоналу в денежной форме</t>
  </si>
  <si>
    <t>поступления текущего характера бюджетным и автономным учреждениям от сектора государственного управления</t>
  </si>
  <si>
    <t xml:space="preserve">                 А.Ю. Хурматуллин</t>
  </si>
  <si>
    <t>за счет прочих источников финансового обеспечения</t>
  </si>
  <si>
    <t xml:space="preserve">Главный бухгалтер </t>
  </si>
  <si>
    <t>Итого по контрактам, планируемым к заключению в соответствующем финансовом году в соответсвии с Федеральным законом № 44-ФЗ, по соответствующему году закупки</t>
  </si>
  <si>
    <t>Итого по договорам, планируемым к заключению в соответствующем финансовом году в соответсвии с Федеральным законом № 223-ФЗ, по соответствующему году закупки</t>
  </si>
  <si>
    <t>Не печатать</t>
  </si>
  <si>
    <t>Кредиторка</t>
  </si>
  <si>
    <t>44-ФЗ</t>
  </si>
  <si>
    <t>223-ФЗ</t>
  </si>
  <si>
    <t>за счет субсидии на выполнение муниципального задания из бюджета Республики Башкортостан</t>
  </si>
  <si>
    <t>за счет субсидии на выполнение муниципального задания из бюджета городского округа город Уфа Республики Башкортостан</t>
  </si>
  <si>
    <t>за счет приносящей доход деятельности</t>
  </si>
  <si>
    <t>за счет субсидий на иные цели из бюджета городского округа город Уфа Республики Башкортостан</t>
  </si>
  <si>
    <t xml:space="preserve">культуре и спорту Администрации городского </t>
  </si>
  <si>
    <t>округа город Уфа Республики Башкортостан</t>
  </si>
  <si>
    <t xml:space="preserve">И.о. начальника Управления по физической </t>
  </si>
  <si>
    <t>________________________Е.В.Сорокин</t>
  </si>
  <si>
    <t>"_____"____________________2020 г.</t>
  </si>
  <si>
    <r>
      <t xml:space="preserve">Наименование учреждения: </t>
    </r>
    <r>
      <rPr>
        <b/>
        <sz val="14"/>
        <color theme="1"/>
        <rFont val="Times New Roman"/>
        <family val="1"/>
        <charset val="204"/>
      </rPr>
      <t>Муниципальное бюджетное учреждение «Спортивная школа №28» городского округа город Уфа Республики Башкортостан</t>
    </r>
  </si>
  <si>
    <t>Директор МБУ СШ № 28</t>
  </si>
  <si>
    <t>Р.В. Велиев</t>
  </si>
  <si>
    <t>200-300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</si>
</sst>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indent="15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5" fillId="0" borderId="0" xfId="0" applyFont="1" applyAlignment="1">
      <alignment vertical="top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horizontal="center"/>
    </xf>
    <xf numFmtId="4" fontId="1" fillId="0" borderId="1" xfId="0" applyNumberFormat="1" applyFont="1" applyBorder="1"/>
    <xf numFmtId="4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2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Fill="1" applyBorder="1"/>
    <xf numFmtId="3" fontId="1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1" xfId="0" applyNumberFormat="1" applyFont="1" applyBorder="1" applyAlignment="1"/>
    <xf numFmtId="0" fontId="1" fillId="0" borderId="1" xfId="0" applyFont="1" applyBorder="1" applyAlignment="1">
      <alignment horizontal="center"/>
    </xf>
    <xf numFmtId="4" fontId="1" fillId="0" borderId="0" xfId="0" applyNumberFormat="1" applyFont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1" fillId="3" borderId="1" xfId="0" applyFont="1" applyFill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center"/>
    </xf>
    <xf numFmtId="0" fontId="7" fillId="4" borderId="1" xfId="0" applyFont="1" applyFill="1" applyBorder="1"/>
    <xf numFmtId="49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center"/>
    </xf>
    <xf numFmtId="4" fontId="2" fillId="4" borderId="1" xfId="0" applyNumberFormat="1" applyFont="1" applyFill="1" applyBorder="1"/>
    <xf numFmtId="49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" fontId="7" fillId="4" borderId="1" xfId="0" applyNumberFormat="1" applyFont="1" applyFill="1" applyBorder="1" applyAlignment="1">
      <alignment horizontal="center"/>
    </xf>
    <xf numFmtId="4" fontId="7" fillId="4" borderId="1" xfId="0" applyNumberFormat="1" applyFont="1" applyFill="1" applyBorder="1"/>
    <xf numFmtId="0" fontId="1" fillId="5" borderId="1" xfId="0" applyFont="1" applyFill="1" applyBorder="1" applyAlignment="1">
      <alignment wrapText="1"/>
    </xf>
    <xf numFmtId="4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/>
    <xf numFmtId="49" fontId="1" fillId="5" borderId="1" xfId="0" applyNumberFormat="1" applyFont="1" applyFill="1" applyBorder="1" applyAlignment="1"/>
    <xf numFmtId="0" fontId="1" fillId="5" borderId="1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wrapText="1"/>
    </xf>
    <xf numFmtId="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/>
    <xf numFmtId="0" fontId="1" fillId="5" borderId="3" xfId="0" applyFont="1" applyFill="1" applyBorder="1" applyAlignment="1">
      <alignment wrapText="1"/>
    </xf>
    <xf numFmtId="49" fontId="1" fillId="5" borderId="3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wrapText="1"/>
    </xf>
    <xf numFmtId="0" fontId="1" fillId="7" borderId="1" xfId="0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wrapText="1"/>
    </xf>
    <xf numFmtId="0" fontId="1" fillId="8" borderId="1" xfId="0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/>
    <xf numFmtId="0" fontId="1" fillId="9" borderId="1" xfId="0" applyFont="1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4" fontId="1" fillId="9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/>
    <xf numFmtId="4" fontId="1" fillId="10" borderId="1" xfId="0" applyNumberFormat="1" applyFont="1" applyFill="1" applyBorder="1"/>
    <xf numFmtId="0" fontId="1" fillId="0" borderId="0" xfId="0" applyFont="1" applyFill="1" applyBorder="1" applyAlignment="1">
      <alignment horizontal="center"/>
    </xf>
    <xf numFmtId="4" fontId="1" fillId="0" borderId="0" xfId="0" applyNumberFormat="1" applyFont="1" applyFill="1" applyBorder="1"/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4" fontId="1" fillId="0" borderId="0" xfId="0" applyNumberFormat="1" applyFont="1" applyBorder="1"/>
    <xf numFmtId="3" fontId="1" fillId="0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wrapText="1"/>
    </xf>
    <xf numFmtId="49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3" fontId="1" fillId="11" borderId="1" xfId="0" applyNumberFormat="1" applyFont="1" applyFill="1" applyBorder="1" applyAlignment="1">
      <alignment horizontal="center"/>
    </xf>
    <xf numFmtId="4" fontId="1" fillId="11" borderId="1" xfId="0" applyNumberFormat="1" applyFont="1" applyFill="1" applyBorder="1"/>
    <xf numFmtId="0" fontId="1" fillId="0" borderId="1" xfId="0" applyFont="1" applyBorder="1" applyAlignment="1">
      <alignment horizontal="center"/>
    </xf>
    <xf numFmtId="4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/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12" borderId="4" xfId="0" applyFont="1" applyFill="1" applyBorder="1" applyAlignment="1">
      <alignment horizontal="left" wrapText="1"/>
    </xf>
    <xf numFmtId="49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3" fontId="1" fillId="12" borderId="1" xfId="0" applyNumberFormat="1" applyFont="1" applyFill="1" applyBorder="1" applyAlignment="1">
      <alignment horizontal="center"/>
    </xf>
    <xf numFmtId="4" fontId="1" fillId="12" borderId="1" xfId="0" applyNumberFormat="1" applyFont="1" applyFill="1" applyBorder="1"/>
    <xf numFmtId="4" fontId="1" fillId="1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5" borderId="0" xfId="0" applyNumberFormat="1" applyFont="1" applyFill="1" applyBorder="1"/>
    <xf numFmtId="0" fontId="1" fillId="5" borderId="0" xfId="0" applyFont="1" applyFill="1"/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0" xfId="0" applyFont="1" applyFill="1" applyAlignment="1">
      <alignment horizontal="left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" fontId="1" fillId="1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view="pageBreakPreview" zoomScaleNormal="100" zoomScaleSheetLayoutView="100" workbookViewId="0">
      <selection activeCell="A16" sqref="A16:J16"/>
    </sheetView>
  </sheetViews>
  <sheetFormatPr defaultRowHeight="15" x14ac:dyDescent="0.25"/>
  <cols>
    <col min="1" max="1" width="13.28515625" customWidth="1"/>
    <col min="6" max="6" width="20" customWidth="1"/>
    <col min="7" max="7" width="14" customWidth="1"/>
    <col min="8" max="8" width="14.42578125" customWidth="1"/>
    <col min="9" max="9" width="11.7109375" customWidth="1"/>
    <col min="10" max="10" width="8.42578125" customWidth="1"/>
    <col min="11" max="11" width="7.140625" customWidth="1"/>
    <col min="12" max="12" width="11.5703125" customWidth="1"/>
    <col min="13" max="13" width="19.42578125" customWidth="1"/>
  </cols>
  <sheetData>
    <row r="1" spans="1:14" ht="18.75" x14ac:dyDescent="0.3">
      <c r="I1" s="8" t="s">
        <v>7</v>
      </c>
      <c r="J1" s="8"/>
      <c r="K1" s="5"/>
      <c r="L1" s="5"/>
    </row>
    <row r="2" spans="1:14" ht="18.75" customHeight="1" x14ac:dyDescent="0.3">
      <c r="I2" s="1" t="s">
        <v>206</v>
      </c>
      <c r="J2" s="1"/>
      <c r="K2" s="10"/>
      <c r="L2" s="11"/>
    </row>
    <row r="3" spans="1:14" ht="18.75" x14ac:dyDescent="0.3">
      <c r="I3" s="7" t="s">
        <v>204</v>
      </c>
      <c r="J3" s="5"/>
      <c r="K3" s="5"/>
      <c r="L3" s="5"/>
      <c r="N3" s="2"/>
    </row>
    <row r="4" spans="1:14" ht="18.75" x14ac:dyDescent="0.3">
      <c r="I4" s="7" t="s">
        <v>205</v>
      </c>
      <c r="J4" s="7"/>
      <c r="K4" s="7"/>
      <c r="L4" s="7"/>
      <c r="N4" s="2"/>
    </row>
    <row r="5" spans="1:14" ht="24.75" customHeight="1" x14ac:dyDescent="0.25">
      <c r="I5" s="8" t="s">
        <v>207</v>
      </c>
      <c r="J5" s="8"/>
      <c r="K5" s="8"/>
      <c r="L5" s="8"/>
      <c r="N5" s="2"/>
    </row>
    <row r="6" spans="1:14" ht="10.5" customHeight="1" x14ac:dyDescent="0.3">
      <c r="I6" s="66"/>
      <c r="J6" s="66"/>
      <c r="K6" s="5"/>
      <c r="L6" s="4" t="s">
        <v>8</v>
      </c>
      <c r="N6" s="2"/>
    </row>
    <row r="7" spans="1:14" ht="24.75" customHeight="1" x14ac:dyDescent="0.3">
      <c r="H7" t="s">
        <v>9</v>
      </c>
      <c r="I7" s="6" t="s">
        <v>208</v>
      </c>
      <c r="J7" s="6"/>
      <c r="K7" s="5"/>
      <c r="L7" s="5"/>
    </row>
    <row r="8" spans="1:14" x14ac:dyDescent="0.25">
      <c r="K8" s="3"/>
    </row>
    <row r="10" spans="1:14" ht="48.75" customHeight="1" x14ac:dyDescent="0.25">
      <c r="A10" s="123" t="s">
        <v>22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4"/>
    </row>
    <row r="11" spans="1:14" x14ac:dyDescent="0.25">
      <c r="A11" s="124" t="s">
        <v>20</v>
      </c>
      <c r="B11" s="124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4" ht="18.75" x14ac:dyDescent="0.3">
      <c r="A12" s="124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M12" s="12" t="s">
        <v>10</v>
      </c>
    </row>
    <row r="13" spans="1:14" ht="18.75" x14ac:dyDescent="0.3">
      <c r="K13" s="126" t="s">
        <v>15</v>
      </c>
      <c r="L13" s="127"/>
      <c r="M13" s="12"/>
    </row>
    <row r="14" spans="1:14" ht="39.75" customHeight="1" x14ac:dyDescent="0.3">
      <c r="A14" s="122" t="s">
        <v>21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6" t="s">
        <v>16</v>
      </c>
      <c r="L14" s="127"/>
      <c r="M14" s="12"/>
    </row>
    <row r="15" spans="1:14" ht="18.7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120" t="s">
        <v>17</v>
      </c>
      <c r="L15" s="121"/>
      <c r="M15" s="12">
        <v>778</v>
      </c>
    </row>
    <row r="16" spans="1:14" ht="37.5" customHeight="1" x14ac:dyDescent="0.3">
      <c r="A16" s="125" t="s">
        <v>209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6" t="s">
        <v>16</v>
      </c>
      <c r="L16" s="127"/>
      <c r="M16" s="33"/>
    </row>
    <row r="17" spans="1:13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120" t="s">
        <v>18</v>
      </c>
      <c r="L17" s="121"/>
      <c r="M17" s="36">
        <v>273051212</v>
      </c>
    </row>
    <row r="18" spans="1:13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120" t="s">
        <v>19</v>
      </c>
      <c r="L18" s="121"/>
      <c r="M18" s="36">
        <v>27301001</v>
      </c>
    </row>
    <row r="19" spans="1:13" ht="18.75" x14ac:dyDescent="0.3">
      <c r="A19" s="5" t="s">
        <v>11</v>
      </c>
      <c r="B19" s="5"/>
      <c r="C19" s="5"/>
      <c r="D19" s="5"/>
      <c r="E19" s="5"/>
      <c r="F19" s="5"/>
      <c r="G19" s="5"/>
      <c r="H19" s="5"/>
      <c r="I19" s="5"/>
      <c r="J19" s="5"/>
      <c r="K19" s="120" t="s">
        <v>12</v>
      </c>
      <c r="L19" s="121"/>
      <c r="M19" s="36">
        <v>383</v>
      </c>
    </row>
    <row r="20" spans="1:13" ht="18.75" x14ac:dyDescent="0.3">
      <c r="A20" s="5"/>
      <c r="B20" s="5"/>
      <c r="C20" s="5"/>
      <c r="D20" s="5"/>
      <c r="E20" s="5"/>
      <c r="F20" s="5"/>
      <c r="G20" s="5"/>
      <c r="H20" s="5"/>
      <c r="I20" s="5"/>
      <c r="J20" s="5"/>
      <c r="L20" s="5"/>
      <c r="M20" s="5"/>
    </row>
    <row r="21" spans="1:13" ht="18.75" x14ac:dyDescent="0.3">
      <c r="A21" s="5"/>
      <c r="B21" s="5"/>
      <c r="C21" s="5"/>
      <c r="D21" s="5"/>
      <c r="E21" s="5"/>
      <c r="F21" s="5"/>
      <c r="G21" s="5"/>
      <c r="H21" s="5"/>
      <c r="I21" s="5"/>
      <c r="J21" s="5"/>
      <c r="L21" s="5"/>
      <c r="M21" s="5"/>
    </row>
    <row r="22" spans="1:13" ht="18.75" x14ac:dyDescent="0.3">
      <c r="A22" s="5"/>
      <c r="B22" s="5"/>
      <c r="C22" s="5"/>
      <c r="D22" s="5"/>
      <c r="E22" s="5"/>
      <c r="F22" s="5"/>
      <c r="G22" s="5"/>
      <c r="H22" s="5"/>
      <c r="I22" s="5"/>
      <c r="J22" s="5"/>
      <c r="L22" s="5"/>
      <c r="M22" s="5"/>
    </row>
    <row r="23" spans="1:13" ht="18.75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L23" s="5"/>
      <c r="M23" s="5"/>
    </row>
    <row r="24" spans="1:13" ht="18.75" x14ac:dyDescent="0.3">
      <c r="L24" s="5"/>
      <c r="M24" s="5"/>
    </row>
    <row r="25" spans="1:13" ht="18.75" x14ac:dyDescent="0.3">
      <c r="L25" s="5"/>
      <c r="M25" s="5"/>
    </row>
  </sheetData>
  <mergeCells count="11">
    <mergeCell ref="K17:L17"/>
    <mergeCell ref="K18:L18"/>
    <mergeCell ref="K19:L19"/>
    <mergeCell ref="A14:J14"/>
    <mergeCell ref="A10:K10"/>
    <mergeCell ref="A11:K12"/>
    <mergeCell ref="A16:J16"/>
    <mergeCell ref="K13:L13"/>
    <mergeCell ref="K14:L14"/>
    <mergeCell ref="K15:L15"/>
    <mergeCell ref="K16:L16"/>
  </mergeCells>
  <pageMargins left="0.78740157480314965" right="0.78740157480314965" top="1.1811023622047245" bottom="0.59055118110236227" header="0.31496062992125984" footer="0.31496062992125984"/>
  <pageSetup paperSize="9" scale="74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65"/>
  <sheetViews>
    <sheetView tabSelected="1" view="pageBreakPreview" zoomScale="60" zoomScaleNormal="75" workbookViewId="0">
      <pane xSplit="2" ySplit="5" topLeftCell="C144" activePane="bottomRight" state="frozen"/>
      <selection pane="topRight" activeCell="C1" sqref="C1"/>
      <selection pane="bottomLeft" activeCell="A6" sqref="A6"/>
      <selection pane="bottomRight" activeCell="E146" sqref="E146"/>
    </sheetView>
  </sheetViews>
  <sheetFormatPr defaultColWidth="9.140625" defaultRowHeight="18.75" x14ac:dyDescent="0.3"/>
  <cols>
    <col min="1" max="1" width="60.85546875" style="5" customWidth="1"/>
    <col min="2" max="2" width="9.42578125" style="9" customWidth="1"/>
    <col min="3" max="3" width="15.140625" style="5" customWidth="1"/>
    <col min="4" max="4" width="14" style="26" customWidth="1"/>
    <col min="5" max="6" width="18.7109375" style="5" customWidth="1"/>
    <col min="7" max="7" width="21.5703125" style="5" customWidth="1"/>
    <col min="8" max="8" width="16.28515625" style="5" customWidth="1"/>
    <col min="9" max="9" width="18.7109375" style="87" customWidth="1"/>
    <col min="10" max="10" width="18.5703125" style="86" customWidth="1"/>
    <col min="11" max="11" width="18.42578125" style="87" customWidth="1"/>
    <col min="12" max="12" width="18.140625" style="87" customWidth="1"/>
    <col min="13" max="15" width="18" style="86" customWidth="1"/>
    <col min="16" max="16" width="9.140625" style="5" customWidth="1"/>
    <col min="17" max="16384" width="9.140625" style="5"/>
  </cols>
  <sheetData>
    <row r="1" spans="1:8" x14ac:dyDescent="0.3">
      <c r="A1" s="124" t="s">
        <v>23</v>
      </c>
      <c r="B1" s="124"/>
      <c r="C1" s="124"/>
      <c r="D1" s="124"/>
      <c r="E1" s="124"/>
      <c r="F1" s="124"/>
      <c r="G1" s="124"/>
      <c r="H1" s="124"/>
    </row>
    <row r="3" spans="1:8" ht="29.25" customHeight="1" x14ac:dyDescent="0.3">
      <c r="A3" s="128" t="s">
        <v>1</v>
      </c>
      <c r="B3" s="128" t="s">
        <v>3</v>
      </c>
      <c r="C3" s="128" t="s">
        <v>24</v>
      </c>
      <c r="D3" s="129" t="s">
        <v>25</v>
      </c>
      <c r="E3" s="128" t="s">
        <v>26</v>
      </c>
      <c r="F3" s="128"/>
      <c r="G3" s="128"/>
      <c r="H3" s="128"/>
    </row>
    <row r="4" spans="1:8" ht="85.5" customHeight="1" x14ac:dyDescent="0.3">
      <c r="A4" s="128"/>
      <c r="B4" s="128"/>
      <c r="C4" s="128"/>
      <c r="D4" s="129"/>
      <c r="E4" s="15" t="s">
        <v>28</v>
      </c>
      <c r="F4" s="15" t="s">
        <v>29</v>
      </c>
      <c r="G4" s="15" t="s">
        <v>30</v>
      </c>
      <c r="H4" s="67" t="s">
        <v>27</v>
      </c>
    </row>
    <row r="5" spans="1:8" x14ac:dyDescent="0.3">
      <c r="A5" s="12">
        <v>1</v>
      </c>
      <c r="B5" s="12">
        <v>2</v>
      </c>
      <c r="C5" s="12">
        <v>3</v>
      </c>
      <c r="D5" s="25">
        <v>4</v>
      </c>
      <c r="E5" s="12">
        <v>5</v>
      </c>
      <c r="F5" s="12">
        <v>6</v>
      </c>
      <c r="G5" s="12">
        <v>7</v>
      </c>
      <c r="H5" s="68">
        <v>8</v>
      </c>
    </row>
    <row r="6" spans="1:8" ht="37.5" x14ac:dyDescent="0.3">
      <c r="A6" s="16" t="s">
        <v>31</v>
      </c>
      <c r="B6" s="17" t="s">
        <v>14</v>
      </c>
      <c r="C6" s="12" t="s">
        <v>5</v>
      </c>
      <c r="D6" s="25" t="s">
        <v>5</v>
      </c>
      <c r="E6" s="18">
        <v>173919.06</v>
      </c>
      <c r="F6" s="18">
        <v>173919.06</v>
      </c>
      <c r="G6" s="18">
        <v>173919.06</v>
      </c>
      <c r="H6" s="18"/>
    </row>
    <row r="7" spans="1:8" ht="37.5" x14ac:dyDescent="0.3">
      <c r="A7" s="16" t="s">
        <v>32</v>
      </c>
      <c r="B7" s="17" t="s">
        <v>34</v>
      </c>
      <c r="C7" s="12" t="s">
        <v>5</v>
      </c>
      <c r="D7" s="25" t="s">
        <v>5</v>
      </c>
      <c r="E7" s="18">
        <v>173919.06</v>
      </c>
      <c r="F7" s="18">
        <v>173919.06</v>
      </c>
      <c r="G7" s="18">
        <v>173919.06</v>
      </c>
      <c r="H7" s="18"/>
    </row>
    <row r="8" spans="1:8" ht="27" customHeight="1" x14ac:dyDescent="0.35">
      <c r="A8" s="44" t="s">
        <v>33</v>
      </c>
      <c r="B8" s="45" t="s">
        <v>35</v>
      </c>
      <c r="C8" s="46"/>
      <c r="D8" s="47">
        <v>100</v>
      </c>
      <c r="E8" s="48">
        <f>E9+E12+E16+E18+E22+E26</f>
        <v>20153685.329999998</v>
      </c>
      <c r="F8" s="48">
        <f>F9+F12+F16+F18+F22+F26</f>
        <v>18305924</v>
      </c>
      <c r="G8" s="48">
        <f>G9+G12+G16+G18+G22+G26</f>
        <v>18305924</v>
      </c>
      <c r="H8" s="46"/>
    </row>
    <row r="9" spans="1:8" ht="37.5" x14ac:dyDescent="0.3">
      <c r="A9" s="16" t="s">
        <v>38</v>
      </c>
      <c r="B9" s="17" t="s">
        <v>36</v>
      </c>
      <c r="C9" s="12">
        <v>120</v>
      </c>
      <c r="D9" s="25">
        <v>120</v>
      </c>
      <c r="E9" s="18">
        <f>E11</f>
        <v>0</v>
      </c>
      <c r="F9" s="18">
        <f t="shared" ref="F9:G9" si="0">F11</f>
        <v>0</v>
      </c>
      <c r="G9" s="18">
        <f t="shared" si="0"/>
        <v>0</v>
      </c>
      <c r="H9" s="13"/>
    </row>
    <row r="10" spans="1:8" x14ac:dyDescent="0.3">
      <c r="A10" s="13" t="s">
        <v>0</v>
      </c>
      <c r="B10" s="17"/>
      <c r="C10" s="12"/>
      <c r="D10" s="25"/>
      <c r="E10" s="18"/>
      <c r="F10" s="18"/>
      <c r="G10" s="18"/>
      <c r="H10" s="13"/>
    </row>
    <row r="11" spans="1:8" x14ac:dyDescent="0.3">
      <c r="A11" s="13" t="s">
        <v>186</v>
      </c>
      <c r="B11" s="17"/>
      <c r="C11" s="23"/>
      <c r="D11" s="25">
        <v>121</v>
      </c>
      <c r="E11" s="18"/>
      <c r="F11" s="18"/>
      <c r="G11" s="18"/>
      <c r="H11" s="13"/>
    </row>
    <row r="12" spans="1:8" ht="39.75" customHeight="1" x14ac:dyDescent="0.3">
      <c r="A12" s="16" t="s">
        <v>50</v>
      </c>
      <c r="B12" s="17" t="s">
        <v>37</v>
      </c>
      <c r="C12" s="12">
        <v>130</v>
      </c>
      <c r="D12" s="25">
        <v>130</v>
      </c>
      <c r="E12" s="18">
        <f>E13+E14+E15</f>
        <v>19851047.469999999</v>
      </c>
      <c r="F12" s="18">
        <f>F13+F14+F15</f>
        <v>17623424</v>
      </c>
      <c r="G12" s="18">
        <f>G13+G14+G15</f>
        <v>17623424</v>
      </c>
      <c r="H12" s="13"/>
    </row>
    <row r="13" spans="1:8" ht="56.25" x14ac:dyDescent="0.3">
      <c r="A13" s="16" t="s">
        <v>165</v>
      </c>
      <c r="B13" s="17" t="s">
        <v>39</v>
      </c>
      <c r="C13" s="12">
        <v>130</v>
      </c>
      <c r="D13" s="25">
        <v>131</v>
      </c>
      <c r="E13" s="18">
        <f>17013824-184000+919200+10109+8995+1603414+166000</f>
        <v>19537542</v>
      </c>
      <c r="F13" s="18">
        <f>17013824+60000+200000+40000</f>
        <v>17313824</v>
      </c>
      <c r="G13" s="18">
        <f>17013824+60000+200000+40000</f>
        <v>17313824</v>
      </c>
      <c r="H13" s="13"/>
    </row>
    <row r="14" spans="1:8" ht="56.25" customHeight="1" x14ac:dyDescent="0.3">
      <c r="A14" s="16" t="s">
        <v>40</v>
      </c>
      <c r="B14" s="17" t="s">
        <v>41</v>
      </c>
      <c r="C14" s="22">
        <v>130</v>
      </c>
      <c r="D14" s="25">
        <v>131</v>
      </c>
      <c r="E14" s="18">
        <f>309600+3905.47</f>
        <v>313505.46999999997</v>
      </c>
      <c r="F14" s="18">
        <v>309600</v>
      </c>
      <c r="G14" s="18">
        <v>309600</v>
      </c>
      <c r="H14" s="13"/>
    </row>
    <row r="15" spans="1:8" ht="71.45" customHeight="1" x14ac:dyDescent="0.3">
      <c r="A15" s="16" t="s">
        <v>42</v>
      </c>
      <c r="B15" s="17" t="s">
        <v>43</v>
      </c>
      <c r="C15" s="22">
        <v>130</v>
      </c>
      <c r="D15" s="25">
        <v>135</v>
      </c>
      <c r="E15" s="18"/>
      <c r="F15" s="18"/>
      <c r="G15" s="18"/>
      <c r="H15" s="13"/>
    </row>
    <row r="16" spans="1:8" ht="35.25" customHeight="1" x14ac:dyDescent="0.3">
      <c r="A16" s="16" t="s">
        <v>44</v>
      </c>
      <c r="B16" s="17" t="s">
        <v>45</v>
      </c>
      <c r="C16" s="12">
        <v>140</v>
      </c>
      <c r="D16" s="25">
        <v>140</v>
      </c>
      <c r="E16" s="18"/>
      <c r="F16" s="18"/>
      <c r="G16" s="18"/>
      <c r="H16" s="13"/>
    </row>
    <row r="17" spans="1:15" x14ac:dyDescent="0.3">
      <c r="A17" s="13" t="s">
        <v>0</v>
      </c>
      <c r="B17" s="17"/>
      <c r="C17" s="12"/>
      <c r="D17" s="25"/>
      <c r="E17" s="18"/>
      <c r="F17" s="18"/>
      <c r="G17" s="18"/>
      <c r="H17" s="13"/>
    </row>
    <row r="18" spans="1:15" ht="24.75" customHeight="1" x14ac:dyDescent="0.3">
      <c r="A18" s="16" t="s">
        <v>46</v>
      </c>
      <c r="B18" s="17" t="s">
        <v>47</v>
      </c>
      <c r="C18" s="12">
        <v>150</v>
      </c>
      <c r="D18" s="25">
        <v>150</v>
      </c>
      <c r="E18" s="18">
        <f>E21+E20</f>
        <v>270000</v>
      </c>
      <c r="F18" s="18">
        <f t="shared" ref="F18:G18" si="1">F21+F20</f>
        <v>682500</v>
      </c>
      <c r="G18" s="18">
        <f t="shared" si="1"/>
        <v>682500</v>
      </c>
      <c r="H18" s="13"/>
    </row>
    <row r="19" spans="1:15" x14ac:dyDescent="0.3">
      <c r="A19" s="13" t="s">
        <v>0</v>
      </c>
      <c r="B19" s="17"/>
      <c r="C19" s="12"/>
      <c r="D19" s="25"/>
      <c r="E19" s="18"/>
      <c r="F19" s="18"/>
      <c r="G19" s="18"/>
      <c r="H19" s="13"/>
    </row>
    <row r="20" spans="1:15" ht="56.25" x14ac:dyDescent="0.3">
      <c r="A20" s="16" t="s">
        <v>190</v>
      </c>
      <c r="B20" s="17"/>
      <c r="C20" s="30">
        <v>150</v>
      </c>
      <c r="D20" s="25">
        <v>152</v>
      </c>
      <c r="E20" s="18"/>
      <c r="F20" s="18"/>
      <c r="G20" s="18"/>
      <c r="H20" s="13"/>
    </row>
    <row r="21" spans="1:15" ht="75" x14ac:dyDescent="0.3">
      <c r="A21" s="16" t="s">
        <v>166</v>
      </c>
      <c r="B21" s="17"/>
      <c r="C21" s="23">
        <v>150</v>
      </c>
      <c r="D21" s="25">
        <v>155</v>
      </c>
      <c r="E21" s="18">
        <f>682500-412500</f>
        <v>270000</v>
      </c>
      <c r="F21" s="18">
        <v>682500</v>
      </c>
      <c r="G21" s="18">
        <v>682500</v>
      </c>
      <c r="H21" s="13"/>
    </row>
    <row r="22" spans="1:15" x14ac:dyDescent="0.3">
      <c r="A22" s="13" t="s">
        <v>48</v>
      </c>
      <c r="B22" s="17" t="s">
        <v>51</v>
      </c>
      <c r="C22" s="12">
        <v>180</v>
      </c>
      <c r="D22" s="25">
        <v>180</v>
      </c>
      <c r="E22" s="18">
        <f>E24+E25</f>
        <v>0</v>
      </c>
      <c r="F22" s="18">
        <f t="shared" ref="F22:G22" si="2">F24+F25</f>
        <v>0</v>
      </c>
      <c r="G22" s="18">
        <f t="shared" si="2"/>
        <v>0</v>
      </c>
      <c r="H22" s="13"/>
    </row>
    <row r="23" spans="1:15" x14ac:dyDescent="0.3">
      <c r="A23" s="13" t="s">
        <v>0</v>
      </c>
      <c r="B23" s="17"/>
      <c r="C23" s="13"/>
      <c r="D23" s="25"/>
      <c r="E23" s="18"/>
      <c r="F23" s="18"/>
      <c r="G23" s="18"/>
      <c r="H23" s="13"/>
    </row>
    <row r="24" spans="1:15" x14ac:dyDescent="0.3">
      <c r="A24" s="13" t="s">
        <v>49</v>
      </c>
      <c r="B24" s="17" t="s">
        <v>52</v>
      </c>
      <c r="C24" s="12">
        <v>180</v>
      </c>
      <c r="D24" s="25"/>
      <c r="E24" s="18"/>
      <c r="F24" s="18"/>
      <c r="G24" s="18"/>
      <c r="H24" s="13"/>
    </row>
    <row r="25" spans="1:15" ht="37.5" x14ac:dyDescent="0.3">
      <c r="A25" s="16" t="s">
        <v>4</v>
      </c>
      <c r="B25" s="17" t="s">
        <v>53</v>
      </c>
      <c r="C25" s="12">
        <v>180</v>
      </c>
      <c r="D25" s="25"/>
      <c r="E25" s="24"/>
      <c r="F25" s="24"/>
      <c r="G25" s="24"/>
      <c r="H25" s="13"/>
    </row>
    <row r="26" spans="1:15" x14ac:dyDescent="0.3">
      <c r="A26" s="13" t="s">
        <v>54</v>
      </c>
      <c r="B26" s="17" t="s">
        <v>55</v>
      </c>
      <c r="C26" s="13"/>
      <c r="D26" s="25">
        <v>131</v>
      </c>
      <c r="E26" s="24">
        <f>E28</f>
        <v>32637.86</v>
      </c>
      <c r="F26" s="24">
        <f t="shared" ref="F26:G26" si="3">F28</f>
        <v>0</v>
      </c>
      <c r="G26" s="24">
        <f t="shared" si="3"/>
        <v>0</v>
      </c>
      <c r="H26" s="13"/>
    </row>
    <row r="27" spans="1:15" x14ac:dyDescent="0.3">
      <c r="A27" s="13" t="s">
        <v>0</v>
      </c>
      <c r="B27" s="17"/>
      <c r="C27" s="13"/>
      <c r="D27" s="25"/>
      <c r="E27" s="18"/>
      <c r="F27" s="18"/>
      <c r="G27" s="18"/>
      <c r="H27" s="13"/>
    </row>
    <row r="28" spans="1:15" x14ac:dyDescent="0.3">
      <c r="A28" s="13" t="s">
        <v>56</v>
      </c>
      <c r="B28" s="17" t="s">
        <v>57</v>
      </c>
      <c r="C28" s="12" t="s">
        <v>5</v>
      </c>
      <c r="D28" s="25">
        <v>131</v>
      </c>
      <c r="E28" s="24">
        <f>E29</f>
        <v>32637.86</v>
      </c>
      <c r="F28" s="24">
        <f t="shared" ref="F28:G28" si="4">F29</f>
        <v>0</v>
      </c>
      <c r="G28" s="24">
        <f t="shared" si="4"/>
        <v>0</v>
      </c>
      <c r="H28" s="13"/>
    </row>
    <row r="29" spans="1:15" ht="71.45" customHeight="1" x14ac:dyDescent="0.3">
      <c r="A29" s="16" t="s">
        <v>58</v>
      </c>
      <c r="B29" s="17" t="s">
        <v>59</v>
      </c>
      <c r="C29" s="12">
        <v>510</v>
      </c>
      <c r="D29" s="25">
        <v>131</v>
      </c>
      <c r="E29" s="18">
        <v>32637.86</v>
      </c>
      <c r="F29" s="18"/>
      <c r="G29" s="18"/>
      <c r="H29" s="13"/>
      <c r="I29" s="42"/>
      <c r="J29" s="42"/>
      <c r="K29" s="42"/>
      <c r="L29" s="85"/>
      <c r="M29" s="42"/>
    </row>
    <row r="30" spans="1:15" ht="27" customHeight="1" x14ac:dyDescent="0.35">
      <c r="A30" s="44" t="s">
        <v>60</v>
      </c>
      <c r="B30" s="49" t="s">
        <v>63</v>
      </c>
      <c r="C30" s="50" t="s">
        <v>5</v>
      </c>
      <c r="D30" s="51" t="s">
        <v>212</v>
      </c>
      <c r="E30" s="52">
        <f>E31+E32+E33+E34</f>
        <v>20121047.469999999</v>
      </c>
      <c r="F30" s="52">
        <f t="shared" ref="F30:G30" si="5">F31+F32+F33+F34</f>
        <v>18305924</v>
      </c>
      <c r="G30" s="52">
        <f t="shared" si="5"/>
        <v>18305924</v>
      </c>
      <c r="H30" s="52">
        <f>H96</f>
        <v>0</v>
      </c>
      <c r="I30" s="88"/>
      <c r="J30" s="88"/>
      <c r="K30" s="88"/>
      <c r="L30" s="88"/>
      <c r="M30" s="88"/>
      <c r="N30" s="88"/>
      <c r="O30" s="88"/>
    </row>
    <row r="31" spans="1:15" ht="55.15" hidden="1" customHeight="1" x14ac:dyDescent="0.3">
      <c r="A31" s="16" t="s">
        <v>200</v>
      </c>
      <c r="B31" s="17"/>
      <c r="C31" s="41"/>
      <c r="D31" s="25"/>
      <c r="E31" s="18">
        <f>E97</f>
        <v>0</v>
      </c>
      <c r="F31" s="18">
        <f>F97</f>
        <v>0</v>
      </c>
      <c r="G31" s="18">
        <f>G97</f>
        <v>0</v>
      </c>
      <c r="H31" s="18"/>
      <c r="I31" s="88"/>
      <c r="J31" s="88"/>
      <c r="K31" s="88"/>
      <c r="L31" s="88"/>
      <c r="M31" s="88"/>
      <c r="N31" s="88"/>
      <c r="O31" s="88"/>
    </row>
    <row r="32" spans="1:15" ht="75" x14ac:dyDescent="0.3">
      <c r="A32" s="16" t="s">
        <v>201</v>
      </c>
      <c r="B32" s="17"/>
      <c r="C32" s="41"/>
      <c r="D32" s="25"/>
      <c r="E32" s="18">
        <f>E36+E75+E98</f>
        <v>19537542</v>
      </c>
      <c r="F32" s="18">
        <f t="shared" ref="F32:G32" si="6">F36+F75+F98</f>
        <v>17313824</v>
      </c>
      <c r="G32" s="18">
        <f t="shared" si="6"/>
        <v>17313824</v>
      </c>
      <c r="H32" s="18"/>
      <c r="I32" s="88"/>
      <c r="J32" s="88"/>
      <c r="K32" s="88"/>
      <c r="L32" s="88"/>
      <c r="M32" s="88"/>
      <c r="N32" s="88"/>
      <c r="O32" s="88"/>
    </row>
    <row r="33" spans="1:15" ht="56.25" hidden="1" x14ac:dyDescent="0.3">
      <c r="A33" s="16" t="s">
        <v>203</v>
      </c>
      <c r="B33" s="17"/>
      <c r="C33" s="41"/>
      <c r="D33" s="25"/>
      <c r="E33" s="18">
        <f>E99</f>
        <v>0</v>
      </c>
      <c r="F33" s="18">
        <f t="shared" ref="F33:G33" si="7">F99</f>
        <v>0</v>
      </c>
      <c r="G33" s="18">
        <f t="shared" si="7"/>
        <v>0</v>
      </c>
      <c r="H33" s="18"/>
      <c r="I33" s="88"/>
      <c r="J33" s="88"/>
      <c r="K33" s="88"/>
      <c r="L33" s="88"/>
      <c r="M33" s="88"/>
      <c r="N33" s="88"/>
      <c r="O33" s="88"/>
    </row>
    <row r="34" spans="1:15" x14ac:dyDescent="0.3">
      <c r="A34" s="13" t="s">
        <v>202</v>
      </c>
      <c r="B34" s="17"/>
      <c r="C34" s="41"/>
      <c r="D34" s="25"/>
      <c r="E34" s="18">
        <f>E37+E76+E100</f>
        <v>583505.47</v>
      </c>
      <c r="F34" s="18">
        <f t="shared" ref="F34:G34" si="8">F37+F76+F100</f>
        <v>992100</v>
      </c>
      <c r="G34" s="18">
        <f t="shared" si="8"/>
        <v>992100</v>
      </c>
      <c r="H34" s="18"/>
      <c r="I34" s="88"/>
      <c r="J34" s="88"/>
      <c r="K34" s="88"/>
      <c r="L34" s="88"/>
      <c r="M34" s="88"/>
      <c r="N34" s="88"/>
      <c r="O34" s="88"/>
    </row>
    <row r="35" spans="1:15" ht="37.5" x14ac:dyDescent="0.3">
      <c r="A35" s="53" t="s">
        <v>129</v>
      </c>
      <c r="B35" s="54" t="s">
        <v>64</v>
      </c>
      <c r="C35" s="55" t="s">
        <v>5</v>
      </c>
      <c r="D35" s="56">
        <v>200</v>
      </c>
      <c r="E35" s="57">
        <f>E36+E37</f>
        <v>14729903</v>
      </c>
      <c r="F35" s="57">
        <f t="shared" ref="F35:G35" si="9">F36+F37</f>
        <v>12414739</v>
      </c>
      <c r="G35" s="57">
        <f t="shared" si="9"/>
        <v>12414739</v>
      </c>
      <c r="H35" s="55" t="s">
        <v>5</v>
      </c>
      <c r="I35" s="85"/>
      <c r="K35" s="85"/>
      <c r="L35" s="86"/>
      <c r="M35" s="85"/>
    </row>
    <row r="36" spans="1:15" ht="75" x14ac:dyDescent="0.3">
      <c r="A36" s="16" t="s">
        <v>201</v>
      </c>
      <c r="B36" s="17"/>
      <c r="C36" s="41"/>
      <c r="D36" s="25"/>
      <c r="E36" s="18">
        <f>E39+E47+E58+E61</f>
        <v>14597335</v>
      </c>
      <c r="F36" s="18">
        <f t="shared" ref="F36:G36" si="10">F39+F47+F58+F61</f>
        <v>12215171</v>
      </c>
      <c r="G36" s="18">
        <f t="shared" si="10"/>
        <v>12215171</v>
      </c>
      <c r="H36" s="18"/>
      <c r="I36" s="88"/>
      <c r="J36" s="88"/>
      <c r="K36" s="88"/>
      <c r="L36" s="88"/>
      <c r="M36" s="88"/>
      <c r="N36" s="88"/>
      <c r="O36" s="88"/>
    </row>
    <row r="37" spans="1:15" ht="19.149999999999999" customHeight="1" x14ac:dyDescent="0.3">
      <c r="A37" s="13" t="s">
        <v>202</v>
      </c>
      <c r="B37" s="17"/>
      <c r="C37" s="41"/>
      <c r="D37" s="25"/>
      <c r="E37" s="18">
        <f>E40+E48+E59+E65</f>
        <v>132568</v>
      </c>
      <c r="F37" s="18">
        <f t="shared" ref="F37:G37" si="11">F40+F48+F59+F65</f>
        <v>199568</v>
      </c>
      <c r="G37" s="18">
        <f t="shared" si="11"/>
        <v>199568</v>
      </c>
      <c r="H37" s="18"/>
      <c r="I37" s="88"/>
      <c r="J37" s="88"/>
      <c r="K37" s="88"/>
      <c r="L37" s="88"/>
      <c r="M37" s="88"/>
      <c r="N37" s="88"/>
      <c r="O37" s="88"/>
    </row>
    <row r="38" spans="1:15" ht="21.75" customHeight="1" x14ac:dyDescent="0.3">
      <c r="A38" s="53" t="s">
        <v>130</v>
      </c>
      <c r="B38" s="54" t="s">
        <v>65</v>
      </c>
      <c r="C38" s="55">
        <v>111</v>
      </c>
      <c r="D38" s="56">
        <v>200</v>
      </c>
      <c r="E38" s="57">
        <f>E39+E40</f>
        <v>11334114</v>
      </c>
      <c r="F38" s="57">
        <f t="shared" ref="F38:G38" si="12">F39+F40</f>
        <v>9386871</v>
      </c>
      <c r="G38" s="57">
        <f t="shared" si="12"/>
        <v>9386871</v>
      </c>
      <c r="H38" s="55" t="s">
        <v>5</v>
      </c>
      <c r="I38" s="42"/>
      <c r="K38" s="42"/>
      <c r="L38" s="86"/>
      <c r="M38" s="42"/>
    </row>
    <row r="39" spans="1:15" ht="56.45" customHeight="1" x14ac:dyDescent="0.3">
      <c r="A39" s="16" t="s">
        <v>201</v>
      </c>
      <c r="B39" s="17"/>
      <c r="C39" s="41"/>
      <c r="D39" s="25"/>
      <c r="E39" s="18">
        <f>E42+E45</f>
        <v>11232290</v>
      </c>
      <c r="F39" s="18">
        <f t="shared" ref="F39:G39" si="13">F42+F45</f>
        <v>9285047</v>
      </c>
      <c r="G39" s="18">
        <f t="shared" si="13"/>
        <v>9285047</v>
      </c>
      <c r="H39" s="68"/>
      <c r="I39" s="42"/>
      <c r="K39" s="42"/>
      <c r="L39" s="86"/>
      <c r="M39" s="42"/>
    </row>
    <row r="40" spans="1:15" ht="21.75" customHeight="1" x14ac:dyDescent="0.3">
      <c r="A40" s="13" t="s">
        <v>202</v>
      </c>
      <c r="B40" s="17"/>
      <c r="C40" s="41"/>
      <c r="D40" s="25"/>
      <c r="E40" s="18">
        <f>E43</f>
        <v>101824</v>
      </c>
      <c r="F40" s="18">
        <f t="shared" ref="F40:G40" si="14">F43</f>
        <v>101824</v>
      </c>
      <c r="G40" s="18">
        <f t="shared" si="14"/>
        <v>101824</v>
      </c>
      <c r="H40" s="68"/>
      <c r="I40" s="42"/>
      <c r="K40" s="42"/>
      <c r="L40" s="86"/>
      <c r="M40" s="42"/>
    </row>
    <row r="41" spans="1:15" ht="19.5" customHeight="1" x14ac:dyDescent="0.3">
      <c r="A41" s="53" t="s">
        <v>187</v>
      </c>
      <c r="B41" s="58"/>
      <c r="C41" s="55">
        <v>111</v>
      </c>
      <c r="D41" s="56">
        <v>211</v>
      </c>
      <c r="E41" s="57">
        <f>E42+E43</f>
        <v>11294114</v>
      </c>
      <c r="F41" s="57">
        <f t="shared" ref="F41:G41" si="15">F42+F43</f>
        <v>9336871</v>
      </c>
      <c r="G41" s="57">
        <f t="shared" si="15"/>
        <v>9336871</v>
      </c>
      <c r="H41" s="55" t="s">
        <v>5</v>
      </c>
      <c r="I41" s="42"/>
      <c r="K41" s="42"/>
      <c r="L41" s="86"/>
      <c r="M41" s="42"/>
    </row>
    <row r="42" spans="1:15" ht="53.45" customHeight="1" x14ac:dyDescent="0.3">
      <c r="A42" s="16" t="s">
        <v>201</v>
      </c>
      <c r="B42" s="29"/>
      <c r="C42" s="41"/>
      <c r="D42" s="25"/>
      <c r="E42" s="18">
        <f>9235047+705991-295+1251547</f>
        <v>11192290</v>
      </c>
      <c r="F42" s="18">
        <v>9235047</v>
      </c>
      <c r="G42" s="18">
        <v>9235047</v>
      </c>
      <c r="H42" s="18"/>
      <c r="I42" s="42"/>
      <c r="K42" s="42"/>
      <c r="L42" s="86"/>
      <c r="M42" s="42"/>
    </row>
    <row r="43" spans="1:15" ht="19.5" customHeight="1" x14ac:dyDescent="0.3">
      <c r="A43" s="13" t="s">
        <v>202</v>
      </c>
      <c r="B43" s="29"/>
      <c r="C43" s="41"/>
      <c r="D43" s="25"/>
      <c r="E43" s="18">
        <v>101824</v>
      </c>
      <c r="F43" s="18">
        <v>101824</v>
      </c>
      <c r="G43" s="18">
        <v>101824</v>
      </c>
      <c r="H43" s="68"/>
      <c r="I43" s="42"/>
      <c r="K43" s="42"/>
      <c r="L43" s="86"/>
      <c r="M43" s="42"/>
    </row>
    <row r="44" spans="1:15" ht="37.5" customHeight="1" x14ac:dyDescent="0.3">
      <c r="A44" s="59" t="s">
        <v>188</v>
      </c>
      <c r="B44" s="54"/>
      <c r="C44" s="55">
        <v>111</v>
      </c>
      <c r="D44" s="56">
        <v>266</v>
      </c>
      <c r="E44" s="57">
        <f>E45</f>
        <v>40000</v>
      </c>
      <c r="F44" s="57">
        <f t="shared" ref="F44:G44" si="16">F45</f>
        <v>50000</v>
      </c>
      <c r="G44" s="57">
        <f t="shared" si="16"/>
        <v>50000</v>
      </c>
      <c r="H44" s="55" t="s">
        <v>5</v>
      </c>
      <c r="I44" s="42"/>
      <c r="K44" s="42"/>
      <c r="L44" s="86"/>
      <c r="M44" s="42"/>
    </row>
    <row r="45" spans="1:15" ht="58.9" customHeight="1" x14ac:dyDescent="0.3">
      <c r="A45" s="16" t="s">
        <v>201</v>
      </c>
      <c r="B45" s="17"/>
      <c r="C45" s="41"/>
      <c r="D45" s="25"/>
      <c r="E45" s="134">
        <f>50000-10000</f>
        <v>40000</v>
      </c>
      <c r="F45" s="18">
        <v>50000</v>
      </c>
      <c r="G45" s="18">
        <v>50000</v>
      </c>
      <c r="H45" s="68"/>
      <c r="I45" s="42"/>
      <c r="K45" s="42"/>
      <c r="L45" s="86"/>
      <c r="M45" s="42"/>
    </row>
    <row r="46" spans="1:15" ht="37.5" customHeight="1" x14ac:dyDescent="0.3">
      <c r="A46" s="53" t="s">
        <v>61</v>
      </c>
      <c r="B46" s="54" t="s">
        <v>66</v>
      </c>
      <c r="C46" s="55">
        <v>112</v>
      </c>
      <c r="D46" s="56">
        <v>200</v>
      </c>
      <c r="E46" s="57">
        <f>E47+E48</f>
        <v>985</v>
      </c>
      <c r="F46" s="57">
        <f t="shared" ref="F46:G46" si="17">F47+F48</f>
        <v>39440</v>
      </c>
      <c r="G46" s="57">
        <f t="shared" si="17"/>
        <v>39440</v>
      </c>
      <c r="H46" s="55" t="s">
        <v>5</v>
      </c>
      <c r="I46" s="42"/>
      <c r="K46" s="42"/>
      <c r="L46" s="86"/>
      <c r="M46" s="42"/>
    </row>
    <row r="47" spans="1:15" ht="58.9" customHeight="1" x14ac:dyDescent="0.3">
      <c r="A47" s="16" t="s">
        <v>201</v>
      </c>
      <c r="B47" s="17"/>
      <c r="C47" s="41"/>
      <c r="D47" s="25"/>
      <c r="E47" s="18">
        <f>E50+E53+E56</f>
        <v>985</v>
      </c>
      <c r="F47" s="18">
        <f t="shared" ref="F47:G47" si="18">F50+F53+F56</f>
        <v>29840</v>
      </c>
      <c r="G47" s="18">
        <f t="shared" si="18"/>
        <v>29840</v>
      </c>
      <c r="H47" s="68"/>
      <c r="I47" s="42"/>
      <c r="K47" s="42"/>
      <c r="L47" s="86"/>
      <c r="M47" s="42"/>
    </row>
    <row r="48" spans="1:15" ht="22.15" customHeight="1" x14ac:dyDescent="0.3">
      <c r="A48" s="13" t="s">
        <v>202</v>
      </c>
      <c r="B48" s="17"/>
      <c r="C48" s="41"/>
      <c r="D48" s="25"/>
      <c r="E48" s="18">
        <f>E51+E54</f>
        <v>0</v>
      </c>
      <c r="F48" s="18">
        <f t="shared" ref="F48:G48" si="19">F51+F54</f>
        <v>9600</v>
      </c>
      <c r="G48" s="18">
        <f t="shared" si="19"/>
        <v>9600</v>
      </c>
      <c r="H48" s="68"/>
      <c r="I48" s="42"/>
      <c r="K48" s="42"/>
      <c r="L48" s="86"/>
      <c r="M48" s="42"/>
    </row>
    <row r="49" spans="1:13" ht="37.5" customHeight="1" x14ac:dyDescent="0.3">
      <c r="A49" s="53" t="s">
        <v>189</v>
      </c>
      <c r="B49" s="58"/>
      <c r="C49" s="55">
        <v>112</v>
      </c>
      <c r="D49" s="56">
        <v>212</v>
      </c>
      <c r="E49" s="57">
        <f>E50+E51</f>
        <v>0</v>
      </c>
      <c r="F49" s="57">
        <f t="shared" ref="F49:G49" si="20">F50+F51</f>
        <v>13050</v>
      </c>
      <c r="G49" s="57">
        <f t="shared" si="20"/>
        <v>13050</v>
      </c>
      <c r="H49" s="55" t="s">
        <v>5</v>
      </c>
      <c r="I49" s="42"/>
      <c r="K49" s="42"/>
      <c r="L49" s="86"/>
      <c r="M49" s="42"/>
    </row>
    <row r="50" spans="1:13" ht="56.45" customHeight="1" x14ac:dyDescent="0.3">
      <c r="A50" s="16" t="s">
        <v>201</v>
      </c>
      <c r="B50" s="29"/>
      <c r="C50" s="41"/>
      <c r="D50" s="25"/>
      <c r="E50" s="18">
        <f>8250-8250</f>
        <v>0</v>
      </c>
      <c r="F50" s="18">
        <v>8250</v>
      </c>
      <c r="G50" s="18">
        <v>8250</v>
      </c>
      <c r="H50" s="68"/>
      <c r="I50" s="42"/>
      <c r="K50" s="42"/>
      <c r="L50" s="86"/>
      <c r="M50" s="42"/>
    </row>
    <row r="51" spans="1:13" ht="25.15" customHeight="1" x14ac:dyDescent="0.3">
      <c r="A51" s="13" t="s">
        <v>202</v>
      </c>
      <c r="B51" s="29"/>
      <c r="C51" s="41"/>
      <c r="D51" s="25"/>
      <c r="E51" s="18">
        <f>4800-4800</f>
        <v>0</v>
      </c>
      <c r="F51" s="18">
        <v>4800</v>
      </c>
      <c r="G51" s="18">
        <v>4800</v>
      </c>
      <c r="H51" s="68"/>
      <c r="I51" s="42"/>
      <c r="K51" s="42"/>
      <c r="L51" s="86"/>
      <c r="M51" s="42"/>
    </row>
    <row r="52" spans="1:13" ht="24.75" customHeight="1" x14ac:dyDescent="0.3">
      <c r="A52" s="59" t="s">
        <v>173</v>
      </c>
      <c r="B52" s="54"/>
      <c r="C52" s="55">
        <v>112</v>
      </c>
      <c r="D52" s="56">
        <v>226</v>
      </c>
      <c r="E52" s="57">
        <f>E53+E54</f>
        <v>0</v>
      </c>
      <c r="F52" s="57">
        <f t="shared" ref="F52:G52" si="21">F53+F54</f>
        <v>25700</v>
      </c>
      <c r="G52" s="57">
        <f t="shared" si="21"/>
        <v>25700</v>
      </c>
      <c r="H52" s="55" t="s">
        <v>5</v>
      </c>
      <c r="I52" s="42"/>
      <c r="K52" s="42"/>
      <c r="L52" s="86"/>
      <c r="M52" s="42"/>
    </row>
    <row r="53" spans="1:13" ht="53.45" customHeight="1" x14ac:dyDescent="0.3">
      <c r="A53" s="16" t="s">
        <v>201</v>
      </c>
      <c r="B53" s="17"/>
      <c r="C53" s="41"/>
      <c r="D53" s="25"/>
      <c r="E53" s="18">
        <f>20900-20900</f>
        <v>0</v>
      </c>
      <c r="F53" s="18">
        <v>20900</v>
      </c>
      <c r="G53" s="18">
        <v>20900</v>
      </c>
      <c r="H53" s="68"/>
      <c r="I53" s="42"/>
      <c r="K53" s="42"/>
      <c r="L53" s="86"/>
      <c r="M53" s="42"/>
    </row>
    <row r="54" spans="1:13" ht="24.75" customHeight="1" x14ac:dyDescent="0.3">
      <c r="A54" s="13" t="s">
        <v>202</v>
      </c>
      <c r="B54" s="17"/>
      <c r="C54" s="41"/>
      <c r="D54" s="25"/>
      <c r="E54" s="18">
        <f>4800-4800</f>
        <v>0</v>
      </c>
      <c r="F54" s="18">
        <v>4800</v>
      </c>
      <c r="G54" s="18">
        <v>4800</v>
      </c>
      <c r="H54" s="68"/>
      <c r="I54" s="42"/>
      <c r="K54" s="42"/>
      <c r="L54" s="86"/>
      <c r="M54" s="42"/>
    </row>
    <row r="55" spans="1:13" ht="39.75" customHeight="1" x14ac:dyDescent="0.3">
      <c r="A55" s="60" t="s">
        <v>188</v>
      </c>
      <c r="B55" s="54"/>
      <c r="C55" s="55">
        <v>112</v>
      </c>
      <c r="D55" s="56">
        <v>266</v>
      </c>
      <c r="E55" s="57">
        <f>E56</f>
        <v>985</v>
      </c>
      <c r="F55" s="57">
        <f t="shared" ref="F55:G55" si="22">F56</f>
        <v>690</v>
      </c>
      <c r="G55" s="57">
        <f t="shared" si="22"/>
        <v>690</v>
      </c>
      <c r="H55" s="55" t="s">
        <v>5</v>
      </c>
      <c r="I55" s="42"/>
      <c r="K55" s="42"/>
      <c r="L55" s="86"/>
      <c r="M55" s="42"/>
    </row>
    <row r="56" spans="1:13" ht="54.6" customHeight="1" x14ac:dyDescent="0.3">
      <c r="A56" s="16" t="s">
        <v>201</v>
      </c>
      <c r="B56" s="17"/>
      <c r="C56" s="41"/>
      <c r="D56" s="25"/>
      <c r="E56" s="18">
        <f>690+295</f>
        <v>985</v>
      </c>
      <c r="F56" s="18">
        <v>690</v>
      </c>
      <c r="G56" s="18">
        <v>690</v>
      </c>
      <c r="H56" s="68"/>
      <c r="I56" s="42"/>
      <c r="K56" s="42"/>
      <c r="L56" s="86"/>
      <c r="M56" s="42"/>
    </row>
    <row r="57" spans="1:13" ht="74.25" customHeight="1" x14ac:dyDescent="0.3">
      <c r="A57" s="53" t="s">
        <v>62</v>
      </c>
      <c r="B57" s="54" t="s">
        <v>67</v>
      </c>
      <c r="C57" s="55">
        <v>113</v>
      </c>
      <c r="D57" s="56">
        <v>226</v>
      </c>
      <c r="E57" s="57">
        <f>E58+E59</f>
        <v>0</v>
      </c>
      <c r="F57" s="57">
        <f t="shared" ref="F57:G57" si="23">F58+F59</f>
        <v>168700</v>
      </c>
      <c r="G57" s="57">
        <f t="shared" si="23"/>
        <v>168700</v>
      </c>
      <c r="H57" s="55" t="s">
        <v>5</v>
      </c>
      <c r="I57" s="42"/>
      <c r="K57" s="42"/>
      <c r="L57" s="86"/>
      <c r="M57" s="42"/>
    </row>
    <row r="58" spans="1:13" ht="55.9" customHeight="1" x14ac:dyDescent="0.3">
      <c r="A58" s="16" t="s">
        <v>201</v>
      </c>
      <c r="B58" s="17"/>
      <c r="C58" s="41"/>
      <c r="D58" s="25"/>
      <c r="E58" s="18">
        <f>111300-111300</f>
        <v>0</v>
      </c>
      <c r="F58" s="18">
        <v>111300</v>
      </c>
      <c r="G58" s="18">
        <v>111300</v>
      </c>
      <c r="H58" s="68"/>
      <c r="I58" s="42"/>
      <c r="K58" s="42"/>
      <c r="L58" s="86"/>
      <c r="M58" s="42"/>
    </row>
    <row r="59" spans="1:13" ht="19.899999999999999" customHeight="1" x14ac:dyDescent="0.3">
      <c r="A59" s="13" t="s">
        <v>202</v>
      </c>
      <c r="B59" s="17"/>
      <c r="C59" s="41"/>
      <c r="D59" s="25"/>
      <c r="E59" s="18">
        <f>57400-57400</f>
        <v>0</v>
      </c>
      <c r="F59" s="18">
        <v>57400</v>
      </c>
      <c r="G59" s="18">
        <v>57400</v>
      </c>
      <c r="H59" s="68"/>
      <c r="I59" s="42"/>
      <c r="K59" s="42"/>
      <c r="L59" s="86"/>
      <c r="M59" s="42"/>
    </row>
    <row r="60" spans="1:13" ht="73.5" customHeight="1" x14ac:dyDescent="0.3">
      <c r="A60" s="53" t="s">
        <v>68</v>
      </c>
      <c r="B60" s="54" t="s">
        <v>69</v>
      </c>
      <c r="C60" s="55">
        <v>119</v>
      </c>
      <c r="D60" s="56">
        <v>213</v>
      </c>
      <c r="E60" s="57">
        <f t="shared" ref="E60:G60" si="24">E63+E66</f>
        <v>3394804</v>
      </c>
      <c r="F60" s="57">
        <f t="shared" si="24"/>
        <v>2819728</v>
      </c>
      <c r="G60" s="57">
        <f t="shared" si="24"/>
        <v>2819728</v>
      </c>
      <c r="H60" s="55" t="s">
        <v>5</v>
      </c>
      <c r="I60" s="42"/>
      <c r="K60" s="42"/>
      <c r="L60" s="86"/>
      <c r="M60" s="42"/>
    </row>
    <row r="61" spans="1:13" ht="55.15" customHeight="1" x14ac:dyDescent="0.3">
      <c r="A61" s="16" t="s">
        <v>201</v>
      </c>
      <c r="B61" s="17"/>
      <c r="C61" s="41"/>
      <c r="D61" s="25"/>
      <c r="E61" s="134">
        <f>E64</f>
        <v>3364060</v>
      </c>
      <c r="F61" s="18">
        <f t="shared" ref="F61:G61" si="25">F64</f>
        <v>2788984</v>
      </c>
      <c r="G61" s="18">
        <f t="shared" si="25"/>
        <v>2788984</v>
      </c>
      <c r="H61" s="68"/>
      <c r="I61" s="42"/>
      <c r="K61" s="42"/>
      <c r="L61" s="86"/>
      <c r="M61" s="42"/>
    </row>
    <row r="62" spans="1:13" ht="22.15" customHeight="1" x14ac:dyDescent="0.3">
      <c r="A62" s="13" t="s">
        <v>202</v>
      </c>
      <c r="B62" s="17"/>
      <c r="C62" s="41"/>
      <c r="D62" s="25"/>
      <c r="E62" s="18">
        <f>E65</f>
        <v>30744</v>
      </c>
      <c r="F62" s="18">
        <f t="shared" ref="F62:G62" si="26">F65</f>
        <v>30744</v>
      </c>
      <c r="G62" s="18">
        <f t="shared" si="26"/>
        <v>30744</v>
      </c>
      <c r="H62" s="68"/>
      <c r="I62" s="42"/>
      <c r="K62" s="42"/>
      <c r="L62" s="86"/>
      <c r="M62" s="42"/>
    </row>
    <row r="63" spans="1:13" ht="35.450000000000003" customHeight="1" x14ac:dyDescent="0.3">
      <c r="A63" s="53" t="s">
        <v>167</v>
      </c>
      <c r="B63" s="54" t="s">
        <v>70</v>
      </c>
      <c r="C63" s="55">
        <v>119</v>
      </c>
      <c r="D63" s="56">
        <v>213</v>
      </c>
      <c r="E63" s="57">
        <f>E64+E65</f>
        <v>3394804</v>
      </c>
      <c r="F63" s="57">
        <f t="shared" ref="F63:G63" si="27">F64+F65</f>
        <v>2819728</v>
      </c>
      <c r="G63" s="57">
        <f t="shared" si="27"/>
        <v>2819728</v>
      </c>
      <c r="H63" s="61" t="s">
        <v>5</v>
      </c>
      <c r="I63" s="42"/>
      <c r="K63" s="42"/>
      <c r="L63" s="86"/>
      <c r="M63" s="42"/>
    </row>
    <row r="64" spans="1:13" ht="75" x14ac:dyDescent="0.3">
      <c r="A64" s="16" t="s">
        <v>201</v>
      </c>
      <c r="B64" s="17"/>
      <c r="C64" s="41"/>
      <c r="D64" s="25"/>
      <c r="E64" s="18">
        <f>2788984+213209+351867+10000</f>
        <v>3364060</v>
      </c>
      <c r="F64" s="18">
        <v>2788984</v>
      </c>
      <c r="G64" s="18">
        <v>2788984</v>
      </c>
      <c r="H64" s="19"/>
      <c r="I64" s="42"/>
      <c r="K64" s="42"/>
      <c r="L64" s="86"/>
      <c r="M64" s="42"/>
    </row>
    <row r="65" spans="1:20" x14ac:dyDescent="0.3">
      <c r="A65" s="13" t="s">
        <v>202</v>
      </c>
      <c r="B65" s="17"/>
      <c r="C65" s="41"/>
      <c r="D65" s="25"/>
      <c r="E65" s="24">
        <v>30744</v>
      </c>
      <c r="F65" s="24">
        <v>30744</v>
      </c>
      <c r="G65" s="24">
        <v>30744</v>
      </c>
      <c r="H65" s="19"/>
      <c r="I65" s="42"/>
      <c r="K65" s="42"/>
      <c r="L65" s="86"/>
      <c r="M65" s="42"/>
    </row>
    <row r="66" spans="1:20" x14ac:dyDescent="0.3">
      <c r="A66" s="13" t="s">
        <v>71</v>
      </c>
      <c r="B66" s="17" t="s">
        <v>72</v>
      </c>
      <c r="C66" s="12">
        <v>119</v>
      </c>
      <c r="D66" s="25"/>
      <c r="E66" s="18"/>
      <c r="F66" s="18"/>
      <c r="G66" s="18"/>
      <c r="H66" s="19" t="s">
        <v>5</v>
      </c>
      <c r="I66" s="42"/>
      <c r="K66" s="42"/>
      <c r="L66" s="86"/>
      <c r="M66" s="42"/>
    </row>
    <row r="67" spans="1:20" ht="37.5" x14ac:dyDescent="0.3">
      <c r="A67" s="16" t="s">
        <v>73</v>
      </c>
      <c r="B67" s="17" t="s">
        <v>75</v>
      </c>
      <c r="C67" s="12">
        <v>300</v>
      </c>
      <c r="D67" s="25"/>
      <c r="E67" s="18">
        <f t="shared" ref="E67:G67" si="28">E68+E71+E72+E73</f>
        <v>0</v>
      </c>
      <c r="F67" s="18">
        <f t="shared" si="28"/>
        <v>0</v>
      </c>
      <c r="G67" s="18">
        <f t="shared" si="28"/>
        <v>0</v>
      </c>
      <c r="H67" s="19" t="s">
        <v>5</v>
      </c>
      <c r="I67" s="42"/>
      <c r="K67" s="42"/>
      <c r="L67" s="86"/>
      <c r="M67" s="42"/>
    </row>
    <row r="68" spans="1:20" ht="52.5" customHeight="1" x14ac:dyDescent="0.3">
      <c r="A68" s="16" t="s">
        <v>74</v>
      </c>
      <c r="B68" s="17" t="s">
        <v>76</v>
      </c>
      <c r="C68" s="12">
        <v>320</v>
      </c>
      <c r="D68" s="25"/>
      <c r="E68" s="18"/>
      <c r="F68" s="18"/>
      <c r="G68" s="18"/>
      <c r="H68" s="19" t="s">
        <v>5</v>
      </c>
      <c r="I68" s="42"/>
      <c r="K68" s="42"/>
      <c r="L68" s="86"/>
      <c r="M68" s="42"/>
    </row>
    <row r="69" spans="1:20" ht="72" customHeight="1" x14ac:dyDescent="0.3">
      <c r="A69" s="16" t="s">
        <v>109</v>
      </c>
      <c r="B69" s="17" t="s">
        <v>78</v>
      </c>
      <c r="C69" s="12">
        <v>321</v>
      </c>
      <c r="D69" s="25"/>
      <c r="E69" s="18"/>
      <c r="F69" s="18"/>
      <c r="G69" s="18"/>
      <c r="H69" s="19" t="s">
        <v>5</v>
      </c>
      <c r="I69" s="42"/>
      <c r="K69" s="42"/>
      <c r="L69" s="86"/>
      <c r="M69" s="42"/>
    </row>
    <row r="70" spans="1:20" ht="39" customHeight="1" x14ac:dyDescent="0.3">
      <c r="A70" s="16" t="s">
        <v>77</v>
      </c>
      <c r="B70" s="17" t="s">
        <v>79</v>
      </c>
      <c r="C70" s="12">
        <v>323</v>
      </c>
      <c r="D70" s="25"/>
      <c r="E70" s="18"/>
      <c r="F70" s="18"/>
      <c r="G70" s="18"/>
      <c r="H70" s="19" t="s">
        <v>5</v>
      </c>
      <c r="I70" s="42"/>
      <c r="K70" s="42"/>
      <c r="L70" s="86"/>
      <c r="M70" s="42"/>
    </row>
    <row r="71" spans="1:20" x14ac:dyDescent="0.3">
      <c r="A71" s="13" t="s">
        <v>6</v>
      </c>
      <c r="B71" s="17" t="s">
        <v>83</v>
      </c>
      <c r="C71" s="12">
        <v>340</v>
      </c>
      <c r="D71" s="25"/>
      <c r="E71" s="18"/>
      <c r="F71" s="18"/>
      <c r="G71" s="18"/>
      <c r="H71" s="19" t="s">
        <v>5</v>
      </c>
      <c r="I71" s="42"/>
      <c r="K71" s="42"/>
      <c r="L71" s="86"/>
      <c r="M71" s="42"/>
    </row>
    <row r="72" spans="1:20" x14ac:dyDescent="0.3">
      <c r="A72" s="13" t="s">
        <v>80</v>
      </c>
      <c r="B72" s="17" t="s">
        <v>84</v>
      </c>
      <c r="C72" s="12">
        <v>350</v>
      </c>
      <c r="D72" s="25"/>
      <c r="E72" s="18"/>
      <c r="F72" s="18"/>
      <c r="G72" s="18"/>
      <c r="H72" s="19" t="s">
        <v>5</v>
      </c>
      <c r="I72" s="42"/>
      <c r="K72" s="42"/>
      <c r="L72" s="86"/>
      <c r="M72" s="42"/>
    </row>
    <row r="73" spans="1:20" x14ac:dyDescent="0.3">
      <c r="A73" s="13" t="s">
        <v>81</v>
      </c>
      <c r="B73" s="17" t="s">
        <v>85</v>
      </c>
      <c r="C73" s="12">
        <v>360</v>
      </c>
      <c r="D73" s="25"/>
      <c r="E73" s="18"/>
      <c r="F73" s="18"/>
      <c r="G73" s="18"/>
      <c r="H73" s="19" t="s">
        <v>5</v>
      </c>
      <c r="I73" s="42"/>
      <c r="K73" s="42"/>
      <c r="L73" s="86"/>
      <c r="M73" s="42"/>
    </row>
    <row r="74" spans="1:20" ht="20.25" customHeight="1" x14ac:dyDescent="0.3">
      <c r="A74" s="53" t="s">
        <v>82</v>
      </c>
      <c r="B74" s="54" t="s">
        <v>86</v>
      </c>
      <c r="C74" s="55">
        <v>850</v>
      </c>
      <c r="D74" s="56"/>
      <c r="E74" s="57">
        <f>E77+E80+E83</f>
        <v>286676</v>
      </c>
      <c r="F74" s="57">
        <f t="shared" ref="F74:G74" si="29">F77+F80+F83</f>
        <v>291765</v>
      </c>
      <c r="G74" s="57">
        <f t="shared" si="29"/>
        <v>291765</v>
      </c>
      <c r="H74" s="61" t="s">
        <v>5</v>
      </c>
      <c r="I74" s="42"/>
      <c r="K74" s="42"/>
      <c r="L74" s="86"/>
      <c r="M74" s="42"/>
    </row>
    <row r="75" spans="1:20" ht="52.15" customHeight="1" x14ac:dyDescent="0.3">
      <c r="A75" s="16" t="s">
        <v>201</v>
      </c>
      <c r="B75" s="17"/>
      <c r="C75" s="41"/>
      <c r="D75" s="25"/>
      <c r="E75" s="18">
        <f>E84+E78+E81</f>
        <v>252556</v>
      </c>
      <c r="F75" s="18">
        <f t="shared" ref="F75:G75" si="30">F84+F78</f>
        <v>260645</v>
      </c>
      <c r="G75" s="18">
        <f t="shared" si="30"/>
        <v>260645</v>
      </c>
      <c r="H75" s="19"/>
      <c r="I75" s="42"/>
      <c r="K75" s="42"/>
      <c r="L75" s="86"/>
      <c r="M75" s="42"/>
      <c r="T75" s="18"/>
    </row>
    <row r="76" spans="1:20" ht="20.25" customHeight="1" x14ac:dyDescent="0.3">
      <c r="A76" s="13" t="s">
        <v>202</v>
      </c>
      <c r="B76" s="17"/>
      <c r="C76" s="41"/>
      <c r="D76" s="25"/>
      <c r="E76" s="18">
        <f>E85+E79+E82+E88</f>
        <v>34120</v>
      </c>
      <c r="F76" s="18">
        <f t="shared" ref="F76:G76" si="31">F85+F79+F82+F88</f>
        <v>31120</v>
      </c>
      <c r="G76" s="18">
        <f t="shared" si="31"/>
        <v>31120</v>
      </c>
      <c r="H76" s="19"/>
      <c r="I76" s="42"/>
      <c r="K76" s="42"/>
      <c r="L76" s="86"/>
      <c r="M76" s="42"/>
    </row>
    <row r="77" spans="1:20" ht="54.75" customHeight="1" x14ac:dyDescent="0.3">
      <c r="A77" s="91" t="s">
        <v>110</v>
      </c>
      <c r="B77" s="92" t="s">
        <v>87</v>
      </c>
      <c r="C77" s="93">
        <v>851</v>
      </c>
      <c r="D77" s="94">
        <v>291</v>
      </c>
      <c r="E77" s="95">
        <f>E78+E79</f>
        <v>232976.83</v>
      </c>
      <c r="F77" s="95">
        <f>F78+F79</f>
        <v>257667</v>
      </c>
      <c r="G77" s="95">
        <f>G78+G79</f>
        <v>257667</v>
      </c>
      <c r="H77" s="97" t="s">
        <v>5</v>
      </c>
      <c r="I77" s="42"/>
      <c r="K77" s="42"/>
      <c r="L77" s="86"/>
      <c r="M77" s="42"/>
    </row>
    <row r="78" spans="1:20" ht="64.5" customHeight="1" x14ac:dyDescent="0.3">
      <c r="A78" s="16" t="s">
        <v>201</v>
      </c>
      <c r="B78" s="17"/>
      <c r="C78" s="96"/>
      <c r="D78" s="25"/>
      <c r="E78" s="18">
        <f>254005-15622-9068.17</f>
        <v>229314.83</v>
      </c>
      <c r="F78" s="18">
        <v>254005</v>
      </c>
      <c r="G78" s="18">
        <v>254005</v>
      </c>
      <c r="H78" s="19"/>
      <c r="I78" s="42"/>
      <c r="K78" s="42"/>
      <c r="L78" s="86"/>
      <c r="M78" s="42"/>
    </row>
    <row r="79" spans="1:20" ht="30.75" customHeight="1" x14ac:dyDescent="0.3">
      <c r="A79" s="13" t="s">
        <v>202</v>
      </c>
      <c r="B79" s="17"/>
      <c r="C79" s="96"/>
      <c r="D79" s="25"/>
      <c r="E79" s="18">
        <v>3662</v>
      </c>
      <c r="F79" s="18">
        <v>3662</v>
      </c>
      <c r="G79" s="18">
        <v>3662</v>
      </c>
      <c r="H79" s="19"/>
      <c r="I79" s="42"/>
      <c r="K79" s="42"/>
      <c r="L79" s="86"/>
      <c r="M79" s="42"/>
    </row>
    <row r="80" spans="1:20" x14ac:dyDescent="0.3">
      <c r="A80" s="98" t="s">
        <v>89</v>
      </c>
      <c r="B80" s="92" t="s">
        <v>88</v>
      </c>
      <c r="C80" s="93">
        <v>852</v>
      </c>
      <c r="D80" s="94">
        <v>291</v>
      </c>
      <c r="E80" s="95">
        <f>E81+E82</f>
        <v>27458</v>
      </c>
      <c r="F80" s="95">
        <f>F81+F82</f>
        <v>27458</v>
      </c>
      <c r="G80" s="95">
        <f t="shared" ref="G80" si="32">G81+G82</f>
        <v>27458</v>
      </c>
      <c r="H80" s="97" t="s">
        <v>5</v>
      </c>
      <c r="I80" s="42"/>
      <c r="K80" s="42"/>
      <c r="L80" s="86"/>
      <c r="M80" s="42"/>
    </row>
    <row r="81" spans="1:13" ht="75" x14ac:dyDescent="0.3">
      <c r="A81" s="16" t="s">
        <v>201</v>
      </c>
      <c r="B81" s="17"/>
      <c r="C81" s="96"/>
      <c r="D81" s="25"/>
      <c r="E81" s="18"/>
      <c r="F81" s="18"/>
      <c r="G81" s="18"/>
      <c r="H81" s="19"/>
      <c r="I81" s="42"/>
      <c r="K81" s="42"/>
      <c r="L81" s="86"/>
      <c r="M81" s="42"/>
    </row>
    <row r="82" spans="1:13" x14ac:dyDescent="0.3">
      <c r="A82" s="13" t="s">
        <v>202</v>
      </c>
      <c r="B82" s="17"/>
      <c r="C82" s="96"/>
      <c r="D82" s="25"/>
      <c r="E82" s="18">
        <v>27458</v>
      </c>
      <c r="F82" s="18">
        <v>27458</v>
      </c>
      <c r="G82" s="18">
        <v>27458</v>
      </c>
      <c r="H82" s="19"/>
      <c r="I82" s="42"/>
      <c r="K82" s="42"/>
      <c r="L82" s="86"/>
      <c r="M82" s="42"/>
    </row>
    <row r="83" spans="1:13" x14ac:dyDescent="0.3">
      <c r="A83" s="62" t="s">
        <v>90</v>
      </c>
      <c r="B83" s="54" t="s">
        <v>91</v>
      </c>
      <c r="C83" s="55">
        <v>853</v>
      </c>
      <c r="D83" s="56">
        <v>290</v>
      </c>
      <c r="E83" s="57">
        <f>E84+E85</f>
        <v>26241.17</v>
      </c>
      <c r="F83" s="57">
        <f t="shared" ref="F83:G83" si="33">F84+F85</f>
        <v>6640</v>
      </c>
      <c r="G83" s="57">
        <f t="shared" si="33"/>
        <v>6640</v>
      </c>
      <c r="H83" s="61" t="s">
        <v>5</v>
      </c>
      <c r="I83" s="42"/>
      <c r="K83" s="42"/>
      <c r="L83" s="86"/>
      <c r="M83" s="42"/>
    </row>
    <row r="84" spans="1:13" ht="51.6" customHeight="1" x14ac:dyDescent="0.3">
      <c r="A84" s="16" t="s">
        <v>201</v>
      </c>
      <c r="B84" s="17"/>
      <c r="C84" s="41"/>
      <c r="D84" s="25"/>
      <c r="E84" s="18">
        <f>E87+E90</f>
        <v>23241.17</v>
      </c>
      <c r="F84" s="18">
        <f t="shared" ref="F84:G84" si="34">F87+F90</f>
        <v>6640</v>
      </c>
      <c r="G84" s="18">
        <f t="shared" si="34"/>
        <v>6640</v>
      </c>
      <c r="H84" s="19"/>
      <c r="I84" s="42"/>
      <c r="K84" s="42"/>
      <c r="L84" s="86"/>
      <c r="M84" s="42"/>
    </row>
    <row r="85" spans="1:13" x14ac:dyDescent="0.3">
      <c r="A85" s="13" t="s">
        <v>202</v>
      </c>
      <c r="B85" s="17"/>
      <c r="C85" s="41"/>
      <c r="D85" s="25"/>
      <c r="E85" s="18">
        <f>E88+E91</f>
        <v>3000</v>
      </c>
      <c r="F85" s="18">
        <f t="shared" ref="F85:G85" si="35">F88+F91</f>
        <v>0</v>
      </c>
      <c r="G85" s="18">
        <f t="shared" si="35"/>
        <v>0</v>
      </c>
      <c r="H85" s="19"/>
      <c r="I85" s="42"/>
      <c r="K85" s="42"/>
      <c r="L85" s="86"/>
      <c r="M85" s="42"/>
    </row>
    <row r="86" spans="1:13" x14ac:dyDescent="0.3">
      <c r="A86" s="62" t="s">
        <v>176</v>
      </c>
      <c r="B86" s="54"/>
      <c r="C86" s="55">
        <v>853</v>
      </c>
      <c r="D86" s="56">
        <v>291</v>
      </c>
      <c r="E86" s="57">
        <f>E87+E88</f>
        <v>23241.17</v>
      </c>
      <c r="F86" s="57">
        <f t="shared" ref="F86:G86" si="36">F87+F88</f>
        <v>6640</v>
      </c>
      <c r="G86" s="57">
        <f t="shared" si="36"/>
        <v>6640</v>
      </c>
      <c r="H86" s="61" t="s">
        <v>5</v>
      </c>
      <c r="I86" s="42"/>
      <c r="K86" s="42"/>
      <c r="L86" s="86"/>
      <c r="M86" s="42"/>
    </row>
    <row r="87" spans="1:13" ht="54.6" customHeight="1" x14ac:dyDescent="0.3">
      <c r="A87" s="16" t="s">
        <v>201</v>
      </c>
      <c r="B87" s="17"/>
      <c r="C87" s="41"/>
      <c r="D87" s="25"/>
      <c r="E87" s="18">
        <f>6640+13933+9068.17-6400</f>
        <v>23241.17</v>
      </c>
      <c r="F87" s="18">
        <v>6640</v>
      </c>
      <c r="G87" s="18">
        <v>6640</v>
      </c>
      <c r="H87" s="19"/>
      <c r="I87" s="42"/>
      <c r="K87" s="42"/>
      <c r="L87" s="86"/>
      <c r="M87" s="42"/>
    </row>
    <row r="88" spans="1:13" x14ac:dyDescent="0.3">
      <c r="A88" s="13" t="s">
        <v>202</v>
      </c>
      <c r="B88" s="17"/>
      <c r="C88" s="41"/>
      <c r="D88" s="25"/>
      <c r="E88" s="18"/>
      <c r="F88" s="18"/>
      <c r="G88" s="18"/>
      <c r="H88" s="19"/>
      <c r="I88" s="42"/>
      <c r="K88" s="42"/>
      <c r="L88" s="86"/>
      <c r="M88" s="42"/>
    </row>
    <row r="89" spans="1:13" ht="56.25" x14ac:dyDescent="0.3">
      <c r="A89" s="111" t="s">
        <v>177</v>
      </c>
      <c r="B89" s="112"/>
      <c r="C89" s="113">
        <v>853</v>
      </c>
      <c r="D89" s="114">
        <v>292</v>
      </c>
      <c r="E89" s="115">
        <f>E90+E91</f>
        <v>3000</v>
      </c>
      <c r="F89" s="115">
        <f t="shared" ref="F89:G89" si="37">F90+F91</f>
        <v>0</v>
      </c>
      <c r="G89" s="115">
        <f t="shared" si="37"/>
        <v>0</v>
      </c>
      <c r="H89" s="116"/>
      <c r="I89" s="42"/>
      <c r="K89" s="42"/>
      <c r="L89" s="86"/>
      <c r="M89" s="42"/>
    </row>
    <row r="90" spans="1:13" ht="75" x14ac:dyDescent="0.3">
      <c r="A90" s="16" t="s">
        <v>201</v>
      </c>
      <c r="B90" s="17"/>
      <c r="C90" s="101"/>
      <c r="D90" s="25"/>
      <c r="E90" s="18"/>
      <c r="F90" s="18"/>
      <c r="G90" s="18"/>
      <c r="H90" s="19"/>
      <c r="I90" s="42"/>
      <c r="K90" s="42"/>
      <c r="L90" s="86"/>
      <c r="M90" s="42"/>
    </row>
    <row r="91" spans="1:13" x14ac:dyDescent="0.3">
      <c r="A91" s="13" t="s">
        <v>202</v>
      </c>
      <c r="B91" s="17"/>
      <c r="C91" s="101"/>
      <c r="D91" s="25"/>
      <c r="E91" s="18">
        <v>3000</v>
      </c>
      <c r="F91" s="18"/>
      <c r="G91" s="18"/>
      <c r="H91" s="19"/>
      <c r="I91" s="42"/>
      <c r="K91" s="42"/>
      <c r="L91" s="86"/>
      <c r="M91" s="42"/>
    </row>
    <row r="92" spans="1:13" ht="36" customHeight="1" x14ac:dyDescent="0.3">
      <c r="A92" s="16" t="s">
        <v>92</v>
      </c>
      <c r="B92" s="17" t="s">
        <v>111</v>
      </c>
      <c r="C92" s="12" t="s">
        <v>5</v>
      </c>
      <c r="D92" s="25"/>
      <c r="E92" s="18">
        <f t="shared" ref="E92:G92" si="38">E93+E94</f>
        <v>0</v>
      </c>
      <c r="F92" s="18">
        <f t="shared" si="38"/>
        <v>0</v>
      </c>
      <c r="G92" s="18">
        <f t="shared" si="38"/>
        <v>0</v>
      </c>
      <c r="H92" s="19" t="s">
        <v>5</v>
      </c>
      <c r="I92" s="42"/>
      <c r="K92" s="42"/>
      <c r="L92" s="86"/>
      <c r="M92" s="42"/>
    </row>
    <row r="93" spans="1:13" ht="93" customHeight="1" x14ac:dyDescent="0.3">
      <c r="A93" s="16" t="s">
        <v>112</v>
      </c>
      <c r="B93" s="17" t="s">
        <v>113</v>
      </c>
      <c r="C93" s="12">
        <v>810</v>
      </c>
      <c r="D93" s="25"/>
      <c r="E93" s="18"/>
      <c r="F93" s="18"/>
      <c r="G93" s="18"/>
      <c r="H93" s="19" t="s">
        <v>5</v>
      </c>
      <c r="I93" s="42"/>
      <c r="K93" s="42"/>
      <c r="L93" s="86"/>
      <c r="M93" s="42"/>
    </row>
    <row r="94" spans="1:13" ht="37.5" x14ac:dyDescent="0.3">
      <c r="A94" s="16" t="s">
        <v>93</v>
      </c>
      <c r="B94" s="17" t="s">
        <v>114</v>
      </c>
      <c r="C94" s="12" t="s">
        <v>5</v>
      </c>
      <c r="D94" s="25"/>
      <c r="E94" s="18">
        <f t="shared" ref="E94:G94" si="39">E95</f>
        <v>0</v>
      </c>
      <c r="F94" s="18">
        <f t="shared" si="39"/>
        <v>0</v>
      </c>
      <c r="G94" s="18">
        <f t="shared" si="39"/>
        <v>0</v>
      </c>
      <c r="H94" s="68" t="s">
        <v>5</v>
      </c>
      <c r="I94" s="42"/>
      <c r="K94" s="42"/>
      <c r="L94" s="86"/>
      <c r="M94" s="42"/>
    </row>
    <row r="95" spans="1:13" ht="56.25" x14ac:dyDescent="0.3">
      <c r="A95" s="16" t="s">
        <v>94</v>
      </c>
      <c r="B95" s="17" t="s">
        <v>115</v>
      </c>
      <c r="C95" s="12">
        <v>831</v>
      </c>
      <c r="D95" s="25"/>
      <c r="E95" s="18"/>
      <c r="F95" s="18"/>
      <c r="G95" s="18"/>
      <c r="H95" s="68" t="s">
        <v>5</v>
      </c>
      <c r="I95" s="42"/>
      <c r="K95" s="42"/>
      <c r="L95" s="86"/>
      <c r="M95" s="42"/>
    </row>
    <row r="96" spans="1:13" ht="24.75" customHeight="1" x14ac:dyDescent="0.3">
      <c r="A96" s="53" t="s">
        <v>95</v>
      </c>
      <c r="B96" s="54" t="s">
        <v>116</v>
      </c>
      <c r="C96" s="55" t="s">
        <v>5</v>
      </c>
      <c r="D96" s="56" t="s">
        <v>212</v>
      </c>
      <c r="E96" s="57">
        <f>SUM(E97:E100)</f>
        <v>5104468.47</v>
      </c>
      <c r="F96" s="57">
        <f t="shared" ref="F96:G96" si="40">SUM(F97:F100)</f>
        <v>5599420</v>
      </c>
      <c r="G96" s="57">
        <f t="shared" si="40"/>
        <v>5599420</v>
      </c>
      <c r="H96" s="57"/>
      <c r="I96" s="86"/>
      <c r="K96" s="86"/>
      <c r="L96" s="86"/>
    </row>
    <row r="97" spans="1:12" ht="52.9" hidden="1" customHeight="1" x14ac:dyDescent="0.3">
      <c r="A97" s="16" t="s">
        <v>200</v>
      </c>
      <c r="B97" s="17"/>
      <c r="C97" s="41"/>
      <c r="D97" s="25"/>
      <c r="E97" s="18">
        <f>E109</f>
        <v>0</v>
      </c>
      <c r="F97" s="18">
        <f t="shared" ref="F97:G97" si="41">F109</f>
        <v>0</v>
      </c>
      <c r="G97" s="18">
        <f t="shared" si="41"/>
        <v>0</v>
      </c>
      <c r="H97" s="18"/>
      <c r="I97" s="86"/>
      <c r="K97" s="86"/>
      <c r="L97" s="86"/>
    </row>
    <row r="98" spans="1:12" ht="55.15" customHeight="1" x14ac:dyDescent="0.3">
      <c r="A98" s="82" t="s">
        <v>201</v>
      </c>
      <c r="B98" s="17"/>
      <c r="C98" s="41"/>
      <c r="D98" s="25"/>
      <c r="E98" s="18">
        <f>E110</f>
        <v>4687651</v>
      </c>
      <c r="F98" s="18">
        <f t="shared" ref="F98:G98" si="42">F110</f>
        <v>4838008</v>
      </c>
      <c r="G98" s="18">
        <f t="shared" si="42"/>
        <v>4838008</v>
      </c>
      <c r="H98" s="18"/>
      <c r="I98" s="86"/>
      <c r="K98" s="86"/>
      <c r="L98" s="86"/>
    </row>
    <row r="99" spans="1:12" ht="58.15" hidden="1" customHeight="1" x14ac:dyDescent="0.3">
      <c r="A99" s="82" t="s">
        <v>203</v>
      </c>
      <c r="B99" s="17"/>
      <c r="C99" s="41"/>
      <c r="D99" s="25"/>
      <c r="E99" s="18">
        <f>E104</f>
        <v>0</v>
      </c>
      <c r="F99" s="18">
        <f t="shared" ref="F99:G99" si="43">F104</f>
        <v>0</v>
      </c>
      <c r="G99" s="18">
        <f t="shared" si="43"/>
        <v>0</v>
      </c>
      <c r="H99" s="18"/>
      <c r="I99" s="86"/>
      <c r="K99" s="86"/>
      <c r="L99" s="86"/>
    </row>
    <row r="100" spans="1:12" ht="24.75" customHeight="1" x14ac:dyDescent="0.3">
      <c r="A100" s="83" t="s">
        <v>202</v>
      </c>
      <c r="B100" s="17"/>
      <c r="C100" s="41"/>
      <c r="D100" s="25"/>
      <c r="E100" s="18">
        <f>E111</f>
        <v>416817.47000000003</v>
      </c>
      <c r="F100" s="18">
        <f t="shared" ref="F100:G100" si="44">F111</f>
        <v>761412</v>
      </c>
      <c r="G100" s="18">
        <f t="shared" si="44"/>
        <v>761412</v>
      </c>
      <c r="H100" s="18"/>
      <c r="I100" s="86"/>
      <c r="K100" s="86"/>
      <c r="L100" s="86"/>
    </row>
    <row r="101" spans="1:12" ht="38.25" customHeight="1" x14ac:dyDescent="0.3">
      <c r="A101" s="16" t="s">
        <v>96</v>
      </c>
      <c r="B101" s="17" t="s">
        <v>117</v>
      </c>
      <c r="C101" s="12">
        <v>241</v>
      </c>
      <c r="D101" s="25"/>
      <c r="E101" s="84"/>
      <c r="F101" s="18"/>
      <c r="G101" s="18"/>
      <c r="H101" s="18"/>
      <c r="I101" s="86"/>
      <c r="K101" s="86"/>
      <c r="L101" s="86"/>
    </row>
    <row r="102" spans="1:12" ht="37.5" x14ac:dyDescent="0.3">
      <c r="A102" s="16" t="s">
        <v>97</v>
      </c>
      <c r="B102" s="17" t="s">
        <v>118</v>
      </c>
      <c r="C102" s="12">
        <v>242</v>
      </c>
      <c r="D102" s="25"/>
      <c r="E102" s="84"/>
      <c r="F102" s="18"/>
      <c r="G102" s="18"/>
      <c r="H102" s="18"/>
      <c r="I102" s="86"/>
      <c r="K102" s="86"/>
      <c r="L102" s="86"/>
    </row>
    <row r="103" spans="1:12" ht="56.25" customHeight="1" x14ac:dyDescent="0.3">
      <c r="A103" s="63" t="s">
        <v>98</v>
      </c>
      <c r="B103" s="64" t="s">
        <v>119</v>
      </c>
      <c r="C103" s="65">
        <v>243</v>
      </c>
      <c r="D103" s="56"/>
      <c r="E103" s="57">
        <f>E104</f>
        <v>0</v>
      </c>
      <c r="F103" s="57">
        <f t="shared" ref="F103:G103" si="45">F105+F107</f>
        <v>0</v>
      </c>
      <c r="G103" s="57">
        <f t="shared" si="45"/>
        <v>0</v>
      </c>
      <c r="H103" s="57"/>
      <c r="I103" s="86"/>
      <c r="K103" s="86"/>
      <c r="L103" s="86"/>
    </row>
    <row r="104" spans="1:12" ht="54" hidden="1" customHeight="1" x14ac:dyDescent="0.3">
      <c r="A104" s="82" t="s">
        <v>203</v>
      </c>
      <c r="B104" s="27"/>
      <c r="C104" s="28"/>
      <c r="D104" s="25"/>
      <c r="E104" s="18">
        <f>E106</f>
        <v>0</v>
      </c>
      <c r="F104" s="18">
        <f t="shared" ref="F104:G104" si="46">F106</f>
        <v>0</v>
      </c>
      <c r="G104" s="18">
        <f t="shared" si="46"/>
        <v>0</v>
      </c>
      <c r="H104" s="18"/>
      <c r="I104" s="86"/>
      <c r="K104" s="86"/>
      <c r="L104" s="86"/>
    </row>
    <row r="105" spans="1:12" ht="21.6" customHeight="1" x14ac:dyDescent="0.3">
      <c r="A105" s="53" t="s">
        <v>172</v>
      </c>
      <c r="B105" s="58"/>
      <c r="C105" s="55">
        <v>243</v>
      </c>
      <c r="D105" s="56">
        <v>225</v>
      </c>
      <c r="E105" s="57">
        <f>E106</f>
        <v>0</v>
      </c>
      <c r="F105" s="57">
        <f t="shared" ref="F105:G105" si="47">F106</f>
        <v>0</v>
      </c>
      <c r="G105" s="57">
        <f t="shared" si="47"/>
        <v>0</v>
      </c>
      <c r="H105" s="57"/>
      <c r="I105" s="86"/>
      <c r="K105" s="86"/>
      <c r="L105" s="86"/>
    </row>
    <row r="106" spans="1:12" ht="54" hidden="1" customHeight="1" x14ac:dyDescent="0.3">
      <c r="A106" s="82" t="s">
        <v>203</v>
      </c>
      <c r="B106" s="29"/>
      <c r="C106" s="41"/>
      <c r="D106" s="25"/>
      <c r="E106" s="24"/>
      <c r="F106" s="24"/>
      <c r="G106" s="24"/>
      <c r="H106" s="18"/>
      <c r="I106" s="86"/>
      <c r="K106" s="86"/>
      <c r="L106" s="86"/>
    </row>
    <row r="107" spans="1:12" ht="22.5" hidden="1" customHeight="1" x14ac:dyDescent="0.3">
      <c r="A107" s="16" t="s">
        <v>173</v>
      </c>
      <c r="B107" s="29"/>
      <c r="C107" s="23">
        <v>243</v>
      </c>
      <c r="D107" s="25">
        <v>226</v>
      </c>
      <c r="E107" s="84"/>
      <c r="F107" s="18"/>
      <c r="G107" s="18"/>
      <c r="H107" s="18"/>
      <c r="I107" s="86"/>
      <c r="K107" s="86"/>
      <c r="L107" s="86"/>
    </row>
    <row r="108" spans="1:12" ht="22.5" customHeight="1" x14ac:dyDescent="0.3">
      <c r="A108" s="53" t="s">
        <v>99</v>
      </c>
      <c r="B108" s="54" t="s">
        <v>120</v>
      </c>
      <c r="C108" s="55">
        <v>244</v>
      </c>
      <c r="D108" s="56" t="s">
        <v>212</v>
      </c>
      <c r="E108" s="57">
        <f>E109+E110+E111</f>
        <v>5104468.47</v>
      </c>
      <c r="F108" s="57">
        <f t="shared" ref="F108:G108" si="48">F109+F110+F111</f>
        <v>5599420</v>
      </c>
      <c r="G108" s="57">
        <f t="shared" si="48"/>
        <v>5599420</v>
      </c>
      <c r="H108" s="57"/>
      <c r="I108" s="86"/>
      <c r="K108" s="86"/>
      <c r="L108" s="86"/>
    </row>
    <row r="109" spans="1:12" ht="54.6" hidden="1" customHeight="1" x14ac:dyDescent="0.3">
      <c r="A109" s="82" t="s">
        <v>200</v>
      </c>
      <c r="B109" s="17"/>
      <c r="C109" s="41"/>
      <c r="D109" s="25"/>
      <c r="E109" s="18">
        <f>E133</f>
        <v>0</v>
      </c>
      <c r="F109" s="18">
        <f t="shared" ref="F109:G109" si="49">F133</f>
        <v>0</v>
      </c>
      <c r="G109" s="18">
        <f t="shared" si="49"/>
        <v>0</v>
      </c>
      <c r="H109" s="18"/>
      <c r="I109" s="86"/>
      <c r="K109" s="86"/>
      <c r="L109" s="86"/>
    </row>
    <row r="110" spans="1:12" ht="60.6" customHeight="1" x14ac:dyDescent="0.3">
      <c r="A110" s="16" t="s">
        <v>201</v>
      </c>
      <c r="B110" s="17"/>
      <c r="C110" s="41"/>
      <c r="D110" s="25"/>
      <c r="E110" s="18">
        <f>E113+E119+E125+E128+E134+E145+E122+E116+E142+E148+E136</f>
        <v>4687651</v>
      </c>
      <c r="F110" s="18">
        <f t="shared" ref="F110:G110" si="50">F113+F119+F125+F128+F134+F145+F122+F116+F142</f>
        <v>4838008</v>
      </c>
      <c r="G110" s="18">
        <f t="shared" si="50"/>
        <v>4838008</v>
      </c>
      <c r="H110" s="18"/>
      <c r="I110" s="86"/>
      <c r="K110" s="86"/>
      <c r="L110" s="86"/>
    </row>
    <row r="111" spans="1:12" ht="22.5" customHeight="1" x14ac:dyDescent="0.3">
      <c r="A111" s="13" t="s">
        <v>202</v>
      </c>
      <c r="B111" s="17"/>
      <c r="C111" s="41"/>
      <c r="D111" s="25"/>
      <c r="E111" s="18">
        <f>E114+E120+E126+E129+E135+E146+E123+E117+E143+E149</f>
        <v>416817.47000000003</v>
      </c>
      <c r="F111" s="18">
        <f t="shared" ref="F111:G111" si="51">F114+F120+F126+F129+F135+F146+F123+F117+F143+F149</f>
        <v>761412</v>
      </c>
      <c r="G111" s="18">
        <f t="shared" si="51"/>
        <v>761412</v>
      </c>
      <c r="H111" s="18"/>
      <c r="I111" s="86"/>
      <c r="K111" s="86"/>
      <c r="L111" s="86"/>
    </row>
    <row r="112" spans="1:12" ht="22.5" customHeight="1" x14ac:dyDescent="0.3">
      <c r="A112" s="53" t="s">
        <v>168</v>
      </c>
      <c r="B112" s="54"/>
      <c r="C112" s="55">
        <v>244</v>
      </c>
      <c r="D112" s="56">
        <v>221</v>
      </c>
      <c r="E112" s="57">
        <f>E113+E114</f>
        <v>52979</v>
      </c>
      <c r="F112" s="57">
        <f t="shared" ref="F112:G112" si="52">F113+F114</f>
        <v>52979</v>
      </c>
      <c r="G112" s="57">
        <f t="shared" si="52"/>
        <v>52979</v>
      </c>
      <c r="H112" s="57"/>
      <c r="I112" s="86"/>
      <c r="K112" s="86"/>
      <c r="L112" s="86"/>
    </row>
    <row r="113" spans="1:12" ht="61.5" customHeight="1" x14ac:dyDescent="0.3">
      <c r="A113" s="16" t="s">
        <v>201</v>
      </c>
      <c r="B113" s="17"/>
      <c r="C113" s="41"/>
      <c r="D113" s="25"/>
      <c r="E113" s="18">
        <f>50979</f>
        <v>50979</v>
      </c>
      <c r="F113" s="18">
        <f>50979</f>
        <v>50979</v>
      </c>
      <c r="G113" s="18">
        <f>50979</f>
        <v>50979</v>
      </c>
      <c r="H113" s="18"/>
      <c r="I113" s="86"/>
      <c r="K113" s="86"/>
      <c r="L113" s="86"/>
    </row>
    <row r="114" spans="1:12" ht="22.5" customHeight="1" x14ac:dyDescent="0.3">
      <c r="A114" s="13" t="s">
        <v>202</v>
      </c>
      <c r="B114" s="17"/>
      <c r="C114" s="41"/>
      <c r="D114" s="25"/>
      <c r="E114" s="24">
        <v>2000</v>
      </c>
      <c r="F114" s="24">
        <v>2000</v>
      </c>
      <c r="G114" s="24">
        <v>2000</v>
      </c>
      <c r="H114" s="18"/>
      <c r="I114" s="86"/>
      <c r="K114" s="86"/>
      <c r="L114" s="86"/>
    </row>
    <row r="115" spans="1:12" ht="22.5" customHeight="1" x14ac:dyDescent="0.3">
      <c r="A115" s="91" t="s">
        <v>169</v>
      </c>
      <c r="B115" s="92"/>
      <c r="C115" s="93">
        <v>244</v>
      </c>
      <c r="D115" s="94">
        <v>222</v>
      </c>
      <c r="E115" s="95">
        <f>E116+E117</f>
        <v>15484.6</v>
      </c>
      <c r="F115" s="95">
        <f t="shared" ref="F115:G115" si="53">F116+F117</f>
        <v>83000</v>
      </c>
      <c r="G115" s="95">
        <f t="shared" si="53"/>
        <v>83000</v>
      </c>
      <c r="H115" s="95"/>
      <c r="I115" s="86"/>
      <c r="K115" s="86"/>
      <c r="L115" s="86"/>
    </row>
    <row r="116" spans="1:12" ht="60" customHeight="1" x14ac:dyDescent="0.3">
      <c r="A116" s="16" t="s">
        <v>201</v>
      </c>
      <c r="B116" s="17"/>
      <c r="C116" s="96"/>
      <c r="D116" s="25"/>
      <c r="E116" s="24"/>
      <c r="F116" s="24"/>
      <c r="G116" s="24"/>
      <c r="H116" s="18"/>
      <c r="I116" s="86"/>
      <c r="K116" s="86"/>
      <c r="L116" s="86"/>
    </row>
    <row r="117" spans="1:12" ht="45" customHeight="1" x14ac:dyDescent="0.3">
      <c r="A117" s="13" t="s">
        <v>202</v>
      </c>
      <c r="B117" s="17"/>
      <c r="C117" s="96"/>
      <c r="D117" s="25"/>
      <c r="E117" s="24">
        <f>83000-10000-57000-515.4</f>
        <v>15484.6</v>
      </c>
      <c r="F117" s="24">
        <v>83000</v>
      </c>
      <c r="G117" s="24">
        <v>83000</v>
      </c>
      <c r="H117" s="18"/>
      <c r="I117" s="86"/>
      <c r="K117" s="86"/>
      <c r="L117" s="86"/>
    </row>
    <row r="118" spans="1:12" ht="22.5" customHeight="1" x14ac:dyDescent="0.3">
      <c r="A118" s="53" t="s">
        <v>170</v>
      </c>
      <c r="B118" s="54"/>
      <c r="C118" s="55">
        <v>244</v>
      </c>
      <c r="D118" s="56">
        <v>223</v>
      </c>
      <c r="E118" s="57">
        <f>E119+E120</f>
        <v>1111939.8</v>
      </c>
      <c r="F118" s="57">
        <f t="shared" ref="F118:G118" si="54">F119+F120</f>
        <v>1044552</v>
      </c>
      <c r="G118" s="57">
        <f t="shared" si="54"/>
        <v>1044552</v>
      </c>
      <c r="H118" s="57"/>
      <c r="I118" s="86"/>
      <c r="K118" s="86"/>
      <c r="L118" s="86"/>
    </row>
    <row r="119" spans="1:12" ht="52.15" customHeight="1" x14ac:dyDescent="0.3">
      <c r="A119" s="16" t="s">
        <v>201</v>
      </c>
      <c r="B119" s="17"/>
      <c r="C119" s="41"/>
      <c r="D119" s="25"/>
      <c r="E119" s="18">
        <f>829098+36113+11353+128669+20235+29182.33+10000+1100+5000+200</f>
        <v>1070950.33</v>
      </c>
      <c r="F119" s="18">
        <f t="shared" ref="F119:G119" si="55">829098+36113+11353+128669+20235</f>
        <v>1025468</v>
      </c>
      <c r="G119" s="18">
        <f t="shared" si="55"/>
        <v>1025468</v>
      </c>
      <c r="H119" s="18"/>
      <c r="I119" s="86"/>
      <c r="K119" s="86"/>
      <c r="L119" s="86"/>
    </row>
    <row r="120" spans="1:12" ht="22.5" customHeight="1" x14ac:dyDescent="0.3">
      <c r="A120" s="13" t="s">
        <v>202</v>
      </c>
      <c r="B120" s="17"/>
      <c r="C120" s="41"/>
      <c r="D120" s="25"/>
      <c r="E120" s="24">
        <f>14981+455+3165+483+3905.47+10000+8000</f>
        <v>40989.47</v>
      </c>
      <c r="F120" s="24">
        <f t="shared" ref="F120:G120" si="56">14981+455+3165+483</f>
        <v>19084</v>
      </c>
      <c r="G120" s="24">
        <f t="shared" si="56"/>
        <v>19084</v>
      </c>
      <c r="H120" s="18"/>
      <c r="I120" s="86"/>
      <c r="K120" s="86"/>
      <c r="L120" s="86"/>
    </row>
    <row r="121" spans="1:12" ht="55.5" customHeight="1" x14ac:dyDescent="0.3">
      <c r="A121" s="91" t="s">
        <v>171</v>
      </c>
      <c r="B121" s="92"/>
      <c r="C121" s="93">
        <v>244</v>
      </c>
      <c r="D121" s="94">
        <v>224</v>
      </c>
      <c r="E121" s="95">
        <f>E122+E123</f>
        <v>0</v>
      </c>
      <c r="F121" s="95">
        <f t="shared" ref="F121:G121" si="57">F122+F123</f>
        <v>0</v>
      </c>
      <c r="G121" s="95">
        <f t="shared" si="57"/>
        <v>0</v>
      </c>
      <c r="H121" s="95"/>
      <c r="I121" s="86"/>
      <c r="K121" s="86"/>
      <c r="L121" s="86"/>
    </row>
    <row r="122" spans="1:12" ht="58.5" customHeight="1" x14ac:dyDescent="0.3">
      <c r="A122" s="16" t="s">
        <v>201</v>
      </c>
      <c r="B122" s="36"/>
      <c r="C122" s="33"/>
      <c r="D122" s="90"/>
      <c r="E122" s="18"/>
      <c r="F122" s="18"/>
      <c r="G122" s="18"/>
      <c r="H122" s="24"/>
      <c r="I122" s="86"/>
      <c r="K122" s="86"/>
      <c r="L122" s="86"/>
    </row>
    <row r="123" spans="1:12" ht="33.75" customHeight="1" x14ac:dyDescent="0.3">
      <c r="A123" s="13" t="s">
        <v>202</v>
      </c>
      <c r="B123" s="36"/>
      <c r="C123" s="33"/>
      <c r="D123" s="90"/>
      <c r="E123" s="24"/>
      <c r="F123" s="24"/>
      <c r="G123" s="24"/>
      <c r="H123" s="24"/>
      <c r="I123" s="86"/>
      <c r="K123" s="86"/>
      <c r="L123" s="86"/>
    </row>
    <row r="124" spans="1:12" ht="22.5" customHeight="1" x14ac:dyDescent="0.3">
      <c r="A124" s="53" t="s">
        <v>172</v>
      </c>
      <c r="B124" s="54"/>
      <c r="C124" s="55">
        <v>244</v>
      </c>
      <c r="D124" s="56">
        <v>225</v>
      </c>
      <c r="E124" s="57">
        <f>E125+E126</f>
        <v>1698186.67</v>
      </c>
      <c r="F124" s="57">
        <f t="shared" ref="F124:G124" si="58">F125+F126</f>
        <v>1572612</v>
      </c>
      <c r="G124" s="57">
        <f t="shared" si="58"/>
        <v>1572612</v>
      </c>
      <c r="H124" s="57"/>
      <c r="I124" s="86"/>
      <c r="K124" s="86"/>
      <c r="L124" s="86"/>
    </row>
    <row r="125" spans="1:12" ht="52.15" customHeight="1" x14ac:dyDescent="0.3">
      <c r="A125" s="16" t="s">
        <v>201</v>
      </c>
      <c r="B125" s="17"/>
      <c r="C125" s="41"/>
      <c r="D125" s="25"/>
      <c r="E125" s="134">
        <f>702954+59000+19000+496743-29182.33+57580+38520+30782+79760+8995+149411+10109+61600-24000-4000</f>
        <v>1657271.67</v>
      </c>
      <c r="F125" s="18">
        <f>702954+59000+19000+496743+60000+200000</f>
        <v>1537697</v>
      </c>
      <c r="G125" s="18">
        <f>702954+59000+19000+496743+60000+200000</f>
        <v>1537697</v>
      </c>
      <c r="H125" s="18"/>
      <c r="I125" s="86"/>
      <c r="K125" s="86"/>
      <c r="L125" s="86"/>
    </row>
    <row r="126" spans="1:12" ht="22.5" customHeight="1" x14ac:dyDescent="0.3">
      <c r="A126" s="13" t="s">
        <v>202</v>
      </c>
      <c r="B126" s="17"/>
      <c r="C126" s="41"/>
      <c r="D126" s="25"/>
      <c r="E126" s="24">
        <f>19396+15519+3000+3000</f>
        <v>40915</v>
      </c>
      <c r="F126" s="24">
        <f t="shared" ref="F126:G126" si="59">19396+15519</f>
        <v>34915</v>
      </c>
      <c r="G126" s="24">
        <f t="shared" si="59"/>
        <v>34915</v>
      </c>
      <c r="H126" s="18"/>
      <c r="I126" s="86"/>
      <c r="K126" s="86"/>
      <c r="L126" s="86"/>
    </row>
    <row r="127" spans="1:12" ht="22.5" customHeight="1" x14ac:dyDescent="0.3">
      <c r="A127" s="53" t="s">
        <v>173</v>
      </c>
      <c r="B127" s="54"/>
      <c r="C127" s="55">
        <v>244</v>
      </c>
      <c r="D127" s="56">
        <v>226</v>
      </c>
      <c r="E127" s="57">
        <f>E128+E129</f>
        <v>1474709</v>
      </c>
      <c r="F127" s="57">
        <f t="shared" ref="F127:G127" si="60">F128+F129</f>
        <v>2653428</v>
      </c>
      <c r="G127" s="57">
        <f t="shared" si="60"/>
        <v>2653428</v>
      </c>
      <c r="H127" s="57"/>
      <c r="I127" s="86"/>
      <c r="K127" s="86"/>
      <c r="L127" s="86"/>
    </row>
    <row r="128" spans="1:12" ht="52.15" customHeight="1" x14ac:dyDescent="0.3">
      <c r="A128" s="16" t="s">
        <v>201</v>
      </c>
      <c r="B128" s="17"/>
      <c r="C128" s="41"/>
      <c r="D128" s="25"/>
      <c r="E128" s="134">
        <f>554365+453750+1070749+34000+56000-13933-23000-5500-1000-184000-79750-170455-6000-74478+1100-158702+48160+237396-7200-261759-25298-1100-1100+6400</f>
        <v>1448645</v>
      </c>
      <c r="F128" s="18">
        <f>554365+453750+1070749+34000+56000+40000</f>
        <v>2208864</v>
      </c>
      <c r="G128" s="18">
        <f>554365+453750+1070749+34000+56000+40000</f>
        <v>2208864</v>
      </c>
      <c r="H128" s="18"/>
      <c r="I128" s="86"/>
      <c r="K128" s="86"/>
      <c r="L128" s="86"/>
    </row>
    <row r="129" spans="1:15" ht="22.5" customHeight="1" x14ac:dyDescent="0.3">
      <c r="A129" s="13" t="s">
        <v>202</v>
      </c>
      <c r="B129" s="17"/>
      <c r="C129" s="41"/>
      <c r="D129" s="25"/>
      <c r="E129" s="24">
        <f>32064+412500+10000-6000-412500-10000</f>
        <v>26064</v>
      </c>
      <c r="F129" s="24">
        <f t="shared" ref="F129:G129" si="61">32064+412500</f>
        <v>444564</v>
      </c>
      <c r="G129" s="24">
        <f t="shared" si="61"/>
        <v>444564</v>
      </c>
      <c r="H129" s="18"/>
      <c r="I129" s="86"/>
      <c r="K129" s="86"/>
      <c r="L129" s="86"/>
    </row>
    <row r="130" spans="1:15" ht="22.5" customHeight="1" x14ac:dyDescent="0.3">
      <c r="A130" s="16" t="s">
        <v>174</v>
      </c>
      <c r="B130" s="17"/>
      <c r="C130" s="23">
        <v>244</v>
      </c>
      <c r="D130" s="25">
        <v>227</v>
      </c>
      <c r="E130" s="24"/>
      <c r="F130" s="18">
        <f t="shared" ref="F130:F140" si="62">E130</f>
        <v>0</v>
      </c>
      <c r="G130" s="18">
        <f t="shared" ref="G130" si="63">E130</f>
        <v>0</v>
      </c>
      <c r="H130" s="18"/>
      <c r="I130" s="86"/>
      <c r="K130" s="86"/>
      <c r="L130" s="86"/>
    </row>
    <row r="131" spans="1:15" ht="38.25" customHeight="1" x14ac:dyDescent="0.3">
      <c r="A131" s="16" t="s">
        <v>175</v>
      </c>
      <c r="B131" s="17"/>
      <c r="C131" s="23">
        <v>244</v>
      </c>
      <c r="D131" s="25">
        <v>228</v>
      </c>
      <c r="E131" s="24"/>
      <c r="F131" s="18"/>
      <c r="G131" s="18"/>
      <c r="H131" s="18"/>
      <c r="I131" s="86"/>
      <c r="K131" s="86"/>
      <c r="L131" s="86"/>
    </row>
    <row r="132" spans="1:15" ht="22.5" customHeight="1" x14ac:dyDescent="0.3">
      <c r="A132" s="53" t="s">
        <v>178</v>
      </c>
      <c r="B132" s="54"/>
      <c r="C132" s="55">
        <v>244</v>
      </c>
      <c r="D132" s="56">
        <v>312</v>
      </c>
      <c r="E132" s="57">
        <f>E133+E134+E135</f>
        <v>348200</v>
      </c>
      <c r="F132" s="57">
        <f t="shared" ref="F132:G132" si="64">F133+F134+F135</f>
        <v>107606</v>
      </c>
      <c r="G132" s="57">
        <f t="shared" si="64"/>
        <v>107606</v>
      </c>
      <c r="H132" s="57"/>
      <c r="I132" s="86"/>
      <c r="K132" s="86"/>
      <c r="L132" s="86"/>
    </row>
    <row r="133" spans="1:15" ht="54.6" hidden="1" customHeight="1" x14ac:dyDescent="0.3">
      <c r="A133" s="16" t="s">
        <v>200</v>
      </c>
      <c r="B133" s="17"/>
      <c r="C133" s="41"/>
      <c r="D133" s="25"/>
      <c r="E133" s="24"/>
      <c r="F133" s="18"/>
      <c r="G133" s="18"/>
      <c r="H133" s="18"/>
      <c r="I133" s="86"/>
      <c r="K133" s="86"/>
      <c r="L133" s="86"/>
    </row>
    <row r="134" spans="1:15" ht="57.6" customHeight="1" x14ac:dyDescent="0.3">
      <c r="A134" s="16" t="s">
        <v>201</v>
      </c>
      <c r="B134" s="17"/>
      <c r="C134" s="41"/>
      <c r="D134" s="25"/>
      <c r="E134" s="24">
        <f>1000+179200-1000+66000</f>
        <v>245200</v>
      </c>
      <c r="F134" s="18"/>
      <c r="G134" s="18"/>
      <c r="H134" s="18"/>
      <c r="I134" s="86"/>
      <c r="K134" s="86"/>
      <c r="L134" s="86"/>
    </row>
    <row r="135" spans="1:15" ht="28.5" customHeight="1" x14ac:dyDescent="0.3">
      <c r="A135" s="13" t="s">
        <v>202</v>
      </c>
      <c r="B135" s="17"/>
      <c r="C135" s="41"/>
      <c r="D135" s="25"/>
      <c r="E135" s="18">
        <f>107606-3000-2000-53000+10635.6+42758.4</f>
        <v>103000</v>
      </c>
      <c r="F135" s="18">
        <v>107606</v>
      </c>
      <c r="G135" s="18">
        <v>107606</v>
      </c>
      <c r="H135" s="18"/>
      <c r="I135" s="86"/>
      <c r="K135" s="86"/>
      <c r="L135" s="86"/>
    </row>
    <row r="136" spans="1:15" s="119" customFormat="1" ht="54.75" customHeight="1" x14ac:dyDescent="0.3">
      <c r="A136" s="53" t="s">
        <v>179</v>
      </c>
      <c r="B136" s="54"/>
      <c r="C136" s="55">
        <v>244</v>
      </c>
      <c r="D136" s="56">
        <v>341</v>
      </c>
      <c r="E136" s="57">
        <f>E137</f>
        <v>0</v>
      </c>
      <c r="F136" s="57"/>
      <c r="G136" s="57"/>
      <c r="H136" s="57"/>
      <c r="I136" s="118"/>
      <c r="J136" s="118"/>
      <c r="K136" s="118"/>
      <c r="L136" s="118"/>
      <c r="M136" s="118"/>
      <c r="N136" s="118"/>
      <c r="O136" s="118"/>
    </row>
    <row r="137" spans="1:15" ht="54.75" customHeight="1" x14ac:dyDescent="0.3">
      <c r="A137" s="16" t="s">
        <v>201</v>
      </c>
      <c r="B137" s="17"/>
      <c r="C137" s="117"/>
      <c r="D137" s="25">
        <v>341</v>
      </c>
      <c r="E137" s="24">
        <f>18000-17000-1000</f>
        <v>0</v>
      </c>
      <c r="F137" s="18"/>
      <c r="G137" s="18"/>
      <c r="H137" s="18"/>
      <c r="I137" s="86"/>
      <c r="K137" s="86"/>
      <c r="L137" s="86"/>
    </row>
    <row r="138" spans="1:15" ht="22.5" customHeight="1" x14ac:dyDescent="0.3">
      <c r="A138" s="16" t="s">
        <v>180</v>
      </c>
      <c r="B138" s="17"/>
      <c r="C138" s="23">
        <v>244</v>
      </c>
      <c r="D138" s="25">
        <v>342</v>
      </c>
      <c r="E138" s="24"/>
      <c r="F138" s="18"/>
      <c r="G138" s="18"/>
      <c r="H138" s="18"/>
      <c r="I138" s="86"/>
      <c r="K138" s="86"/>
      <c r="L138" s="86"/>
    </row>
    <row r="139" spans="1:15" ht="39.75" customHeight="1" x14ac:dyDescent="0.3">
      <c r="A139" s="16" t="s">
        <v>181</v>
      </c>
      <c r="B139" s="17"/>
      <c r="C139" s="23">
        <v>244</v>
      </c>
      <c r="D139" s="25">
        <v>343</v>
      </c>
      <c r="E139" s="24"/>
      <c r="F139" s="18">
        <f t="shared" si="62"/>
        <v>0</v>
      </c>
      <c r="G139" s="18">
        <f t="shared" ref="G139:G140" si="65">E139</f>
        <v>0</v>
      </c>
      <c r="H139" s="18"/>
      <c r="I139" s="86"/>
      <c r="K139" s="86"/>
      <c r="L139" s="86"/>
    </row>
    <row r="140" spans="1:15" ht="33.6" customHeight="1" x14ac:dyDescent="0.3">
      <c r="A140" s="16" t="s">
        <v>182</v>
      </c>
      <c r="B140" s="17"/>
      <c r="C140" s="23">
        <v>244</v>
      </c>
      <c r="D140" s="25">
        <v>344</v>
      </c>
      <c r="E140" s="24"/>
      <c r="F140" s="18">
        <f t="shared" si="62"/>
        <v>0</v>
      </c>
      <c r="G140" s="18">
        <f t="shared" si="65"/>
        <v>0</v>
      </c>
      <c r="H140" s="18"/>
      <c r="I140" s="86"/>
      <c r="K140" s="86"/>
      <c r="L140" s="86"/>
    </row>
    <row r="141" spans="1:15" ht="22.5" customHeight="1" x14ac:dyDescent="0.3">
      <c r="A141" s="91" t="s">
        <v>183</v>
      </c>
      <c r="B141" s="92"/>
      <c r="C141" s="93">
        <v>244</v>
      </c>
      <c r="D141" s="94">
        <v>345</v>
      </c>
      <c r="E141" s="95">
        <f>E142+E143</f>
        <v>173000</v>
      </c>
      <c r="F141" s="95">
        <f t="shared" ref="F141:G141" si="66">F142+F143</f>
        <v>63000</v>
      </c>
      <c r="G141" s="95">
        <f t="shared" si="66"/>
        <v>63000</v>
      </c>
      <c r="H141" s="95"/>
      <c r="I141" s="86"/>
      <c r="K141" s="86"/>
      <c r="L141" s="86"/>
    </row>
    <row r="142" spans="1:15" ht="56.25" customHeight="1" x14ac:dyDescent="0.3">
      <c r="A142" s="16" t="s">
        <v>201</v>
      </c>
      <c r="B142" s="36"/>
      <c r="C142" s="33"/>
      <c r="D142" s="90"/>
      <c r="E142" s="24"/>
      <c r="F142" s="24"/>
      <c r="G142" s="24"/>
      <c r="H142" s="24"/>
      <c r="I142" s="86"/>
      <c r="K142" s="86"/>
      <c r="L142" s="86"/>
    </row>
    <row r="143" spans="1:15" ht="36.75" customHeight="1" x14ac:dyDescent="0.3">
      <c r="A143" s="13" t="s">
        <v>202</v>
      </c>
      <c r="B143" s="36"/>
      <c r="C143" s="33"/>
      <c r="D143" s="90"/>
      <c r="E143" s="24">
        <f>63000+110000</f>
        <v>173000</v>
      </c>
      <c r="F143" s="24">
        <v>63000</v>
      </c>
      <c r="G143" s="24">
        <v>63000</v>
      </c>
      <c r="H143" s="24"/>
      <c r="I143" s="86"/>
      <c r="K143" s="86"/>
      <c r="L143" s="86"/>
    </row>
    <row r="144" spans="1:15" ht="40.5" customHeight="1" x14ac:dyDescent="0.3">
      <c r="A144" s="53" t="s">
        <v>184</v>
      </c>
      <c r="B144" s="54"/>
      <c r="C144" s="55">
        <v>244</v>
      </c>
      <c r="D144" s="56">
        <v>346</v>
      </c>
      <c r="E144" s="57">
        <f>E145+E146</f>
        <v>226605</v>
      </c>
      <c r="F144" s="57">
        <f>F145+F146</f>
        <v>18243</v>
      </c>
      <c r="G144" s="57">
        <f>G145+G146</f>
        <v>18243</v>
      </c>
      <c r="H144" s="57"/>
      <c r="I144" s="86"/>
      <c r="K144" s="86"/>
      <c r="L144" s="86"/>
    </row>
    <row r="145" spans="1:13" ht="52.15" customHeight="1" x14ac:dyDescent="0.3">
      <c r="A145" s="16" t="s">
        <v>201</v>
      </c>
      <c r="B145" s="17"/>
      <c r="C145" s="41"/>
      <c r="D145" s="25"/>
      <c r="E145" s="18">
        <f>15000+5000+29500-7000+71005+1100+100000</f>
        <v>214605</v>
      </c>
      <c r="F145" s="18">
        <f>15000</f>
        <v>15000</v>
      </c>
      <c r="G145" s="18">
        <f>15000</f>
        <v>15000</v>
      </c>
      <c r="H145" s="18"/>
      <c r="I145" s="86"/>
      <c r="K145" s="86"/>
      <c r="L145" s="86"/>
    </row>
    <row r="146" spans="1:13" ht="22.5" customHeight="1" x14ac:dyDescent="0.3">
      <c r="A146" s="13" t="s">
        <v>202</v>
      </c>
      <c r="B146" s="17"/>
      <c r="C146" s="41"/>
      <c r="D146" s="25"/>
      <c r="E146" s="24">
        <f>3243+2000+6757</f>
        <v>12000</v>
      </c>
      <c r="F146" s="24">
        <v>3243</v>
      </c>
      <c r="G146" s="24">
        <v>3243</v>
      </c>
      <c r="H146" s="18"/>
      <c r="I146" s="86"/>
      <c r="K146" s="86"/>
      <c r="L146" s="86"/>
    </row>
    <row r="147" spans="1:13" ht="41.25" customHeight="1" x14ac:dyDescent="0.3">
      <c r="A147" s="91" t="s">
        <v>185</v>
      </c>
      <c r="B147" s="92"/>
      <c r="C147" s="93">
        <v>244</v>
      </c>
      <c r="D147" s="94">
        <v>349</v>
      </c>
      <c r="E147" s="95">
        <f>E148+E149</f>
        <v>3364.4</v>
      </c>
      <c r="F147" s="95">
        <f t="shared" ref="F147:G147" si="67">F148+F149</f>
        <v>4000</v>
      </c>
      <c r="G147" s="95">
        <f t="shared" si="67"/>
        <v>4000</v>
      </c>
      <c r="H147" s="95"/>
      <c r="I147" s="86"/>
      <c r="K147" s="86"/>
      <c r="L147" s="86"/>
    </row>
    <row r="148" spans="1:13" ht="57.75" customHeight="1" x14ac:dyDescent="0.3">
      <c r="A148" s="16" t="s">
        <v>201</v>
      </c>
      <c r="B148" s="17"/>
      <c r="C148" s="96"/>
      <c r="D148" s="25"/>
      <c r="E148" s="24"/>
      <c r="F148" s="18"/>
      <c r="G148" s="18"/>
      <c r="H148" s="18"/>
      <c r="I148" s="86"/>
      <c r="K148" s="86"/>
      <c r="L148" s="86"/>
    </row>
    <row r="149" spans="1:13" ht="27.75" customHeight="1" x14ac:dyDescent="0.3">
      <c r="A149" s="13" t="s">
        <v>202</v>
      </c>
      <c r="B149" s="17"/>
      <c r="C149" s="96"/>
      <c r="D149" s="25"/>
      <c r="E149" s="24">
        <f>4000-635.6</f>
        <v>3364.4</v>
      </c>
      <c r="F149" s="24">
        <v>4000</v>
      </c>
      <c r="G149" s="24">
        <v>4000</v>
      </c>
      <c r="H149" s="24"/>
      <c r="I149" s="86"/>
      <c r="K149" s="86"/>
      <c r="L149" s="86"/>
    </row>
    <row r="150" spans="1:13" ht="38.25" customHeight="1" x14ac:dyDescent="0.3">
      <c r="A150" s="16" t="s">
        <v>2</v>
      </c>
      <c r="B150" s="17"/>
      <c r="C150" s="12"/>
      <c r="D150" s="25"/>
      <c r="E150" s="18"/>
      <c r="F150" s="18"/>
      <c r="G150" s="18"/>
      <c r="H150" s="18"/>
      <c r="I150" s="86"/>
      <c r="K150" s="86"/>
      <c r="L150" s="86"/>
    </row>
    <row r="151" spans="1:13" ht="56.25" x14ac:dyDescent="0.3">
      <c r="A151" s="16" t="s">
        <v>100</v>
      </c>
      <c r="B151" s="17" t="s">
        <v>121</v>
      </c>
      <c r="C151" s="12">
        <v>400</v>
      </c>
      <c r="D151" s="25"/>
      <c r="E151" s="18">
        <f t="shared" ref="E151:G151" si="68">E152+E153</f>
        <v>0</v>
      </c>
      <c r="F151" s="18">
        <f t="shared" si="68"/>
        <v>0</v>
      </c>
      <c r="G151" s="18">
        <f t="shared" si="68"/>
        <v>0</v>
      </c>
      <c r="H151" s="18"/>
      <c r="I151" s="86"/>
      <c r="K151" s="86"/>
      <c r="L151" s="86"/>
    </row>
    <row r="152" spans="1:13" ht="56.25" x14ac:dyDescent="0.3">
      <c r="A152" s="16" t="s">
        <v>101</v>
      </c>
      <c r="B152" s="17" t="s">
        <v>122</v>
      </c>
      <c r="C152" s="12">
        <v>406</v>
      </c>
      <c r="D152" s="25"/>
      <c r="E152" s="18"/>
      <c r="F152" s="18"/>
      <c r="G152" s="18"/>
      <c r="H152" s="18"/>
      <c r="I152" s="86"/>
      <c r="K152" s="86"/>
      <c r="L152" s="86"/>
    </row>
    <row r="153" spans="1:13" ht="56.25" x14ac:dyDescent="0.3">
      <c r="A153" s="16" t="s">
        <v>102</v>
      </c>
      <c r="B153" s="17" t="s">
        <v>123</v>
      </c>
      <c r="C153" s="12">
        <v>407</v>
      </c>
      <c r="D153" s="25"/>
      <c r="E153" s="18"/>
      <c r="F153" s="18"/>
      <c r="G153" s="18"/>
      <c r="H153" s="18"/>
      <c r="I153" s="86"/>
      <c r="K153" s="86"/>
      <c r="L153" s="86"/>
    </row>
    <row r="154" spans="1:13" x14ac:dyDescent="0.3">
      <c r="A154" s="16" t="s">
        <v>103</v>
      </c>
      <c r="B154" s="17" t="s">
        <v>124</v>
      </c>
      <c r="C154" s="12">
        <v>100</v>
      </c>
      <c r="D154" s="25"/>
      <c r="E154" s="18">
        <f t="shared" ref="E154:G154" si="69">E156+E157+E158</f>
        <v>0</v>
      </c>
      <c r="F154" s="18">
        <f t="shared" si="69"/>
        <v>0</v>
      </c>
      <c r="G154" s="18">
        <f t="shared" si="69"/>
        <v>0</v>
      </c>
      <c r="H154" s="68" t="s">
        <v>5</v>
      </c>
      <c r="I154" s="42"/>
      <c r="K154" s="42"/>
      <c r="L154" s="86"/>
      <c r="M154" s="42"/>
    </row>
    <row r="155" spans="1:13" x14ac:dyDescent="0.3">
      <c r="A155" s="16" t="s">
        <v>0</v>
      </c>
      <c r="B155" s="17"/>
      <c r="C155" s="12"/>
      <c r="D155" s="25"/>
      <c r="E155" s="18"/>
      <c r="F155" s="18"/>
      <c r="G155" s="18"/>
      <c r="H155" s="68" t="s">
        <v>5</v>
      </c>
      <c r="I155" s="42"/>
      <c r="K155" s="42"/>
      <c r="L155" s="86"/>
      <c r="M155" s="42"/>
    </row>
    <row r="156" spans="1:13" x14ac:dyDescent="0.3">
      <c r="A156" s="16" t="s">
        <v>104</v>
      </c>
      <c r="B156" s="17" t="s">
        <v>125</v>
      </c>
      <c r="C156" s="12"/>
      <c r="D156" s="25"/>
      <c r="E156" s="18"/>
      <c r="F156" s="18"/>
      <c r="G156" s="18"/>
      <c r="H156" s="68" t="s">
        <v>5</v>
      </c>
      <c r="I156" s="42"/>
      <c r="K156" s="42"/>
      <c r="L156" s="86"/>
      <c r="M156" s="42"/>
    </row>
    <row r="157" spans="1:13" x14ac:dyDescent="0.3">
      <c r="A157" s="16" t="s">
        <v>105</v>
      </c>
      <c r="B157" s="17" t="s">
        <v>126</v>
      </c>
      <c r="C157" s="12"/>
      <c r="D157" s="25"/>
      <c r="E157" s="18"/>
      <c r="F157" s="18"/>
      <c r="G157" s="18"/>
      <c r="H157" s="68" t="s">
        <v>5</v>
      </c>
      <c r="I157" s="42"/>
      <c r="K157" s="42"/>
      <c r="L157" s="86"/>
      <c r="M157" s="42"/>
    </row>
    <row r="158" spans="1:13" x14ac:dyDescent="0.3">
      <c r="A158" s="16" t="s">
        <v>106</v>
      </c>
      <c r="B158" s="17" t="s">
        <v>127</v>
      </c>
      <c r="C158" s="12"/>
      <c r="D158" s="25"/>
      <c r="E158" s="18"/>
      <c r="F158" s="18"/>
      <c r="G158" s="18"/>
      <c r="H158" s="68" t="s">
        <v>5</v>
      </c>
      <c r="I158" s="42"/>
      <c r="K158" s="42"/>
      <c r="L158" s="86"/>
      <c r="M158" s="42"/>
    </row>
    <row r="159" spans="1:13" x14ac:dyDescent="0.3">
      <c r="A159" s="16" t="s">
        <v>107</v>
      </c>
      <c r="B159" s="12">
        <v>4000</v>
      </c>
      <c r="C159" s="12" t="s">
        <v>5</v>
      </c>
      <c r="D159" s="25">
        <v>241</v>
      </c>
      <c r="E159" s="18">
        <f t="shared" ref="E159:G159" si="70">E160</f>
        <v>32637.86</v>
      </c>
      <c r="F159" s="18">
        <f t="shared" si="70"/>
        <v>0</v>
      </c>
      <c r="G159" s="18">
        <f t="shared" si="70"/>
        <v>0</v>
      </c>
      <c r="H159" s="68" t="s">
        <v>5</v>
      </c>
      <c r="I159" s="42"/>
      <c r="K159" s="42"/>
      <c r="L159" s="86"/>
      <c r="M159" s="42"/>
    </row>
    <row r="160" spans="1:13" ht="18.75" customHeight="1" x14ac:dyDescent="0.3">
      <c r="A160" s="16" t="s">
        <v>108</v>
      </c>
      <c r="B160" s="12">
        <v>4010</v>
      </c>
      <c r="C160" s="12" t="s">
        <v>128</v>
      </c>
      <c r="D160" s="25">
        <v>241</v>
      </c>
      <c r="E160" s="18">
        <v>32637.86</v>
      </c>
      <c r="F160" s="18"/>
      <c r="G160" s="18"/>
      <c r="H160" s="68" t="s">
        <v>5</v>
      </c>
      <c r="I160" s="42"/>
      <c r="K160" s="42"/>
      <c r="L160" s="86"/>
      <c r="M160" s="42"/>
    </row>
    <row r="161" spans="5:13" x14ac:dyDescent="0.3">
      <c r="E161" s="31">
        <f>E8-E30-E159+E6-E7</f>
        <v>-5.8207660913467407E-10</v>
      </c>
      <c r="F161" s="31">
        <f t="shared" ref="F161:G161" si="71">F8-F30-F159+F6-F7</f>
        <v>0</v>
      </c>
      <c r="G161" s="31">
        <f t="shared" si="71"/>
        <v>0</v>
      </c>
      <c r="M161" s="89"/>
    </row>
    <row r="164" spans="5:13" x14ac:dyDescent="0.3">
      <c r="E164" s="31">
        <f>E41+E44+E49+E52+E55+E57+E63+E86+E112+E118+E121+E124+E127+E132+E144+E147+E77+E80+E115+E141+E91+E136</f>
        <v>20121047.469999999</v>
      </c>
      <c r="F164" s="31">
        <f t="shared" ref="F164:G164" si="72">F41+F44+F49+F52+F55+F57+F63+F86+F112+F118+F121+F124+F127+F132+F144+F147+F77+F80+F115+F141</f>
        <v>18305924</v>
      </c>
      <c r="G164" s="31">
        <f t="shared" si="72"/>
        <v>18305924</v>
      </c>
    </row>
    <row r="165" spans="5:13" x14ac:dyDescent="0.3">
      <c r="E165" s="31">
        <f>E164-E30</f>
        <v>0</v>
      </c>
      <c r="F165" s="31">
        <f t="shared" ref="F165:G165" si="73">F164-F30</f>
        <v>0</v>
      </c>
      <c r="G165" s="31">
        <f t="shared" si="73"/>
        <v>0</v>
      </c>
    </row>
  </sheetData>
  <mergeCells count="6">
    <mergeCell ref="A1:H1"/>
    <mergeCell ref="E3:H3"/>
    <mergeCell ref="D3:D4"/>
    <mergeCell ref="C3:C4"/>
    <mergeCell ref="B3:B4"/>
    <mergeCell ref="A3:A4"/>
  </mergeCells>
  <pageMargins left="1.1811023622047245" right="0.39370078740157483" top="0.74803149606299213" bottom="0.74803149606299213" header="0.31496062992125984" footer="0.31496062992125984"/>
  <pageSetup paperSize="9" scale="4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48"/>
  <sheetViews>
    <sheetView topLeftCell="A10" zoomScale="55" zoomScaleNormal="55" workbookViewId="0">
      <selection activeCell="E22" sqref="E22"/>
    </sheetView>
  </sheetViews>
  <sheetFormatPr defaultColWidth="9.140625" defaultRowHeight="18.75" outlineLevelCol="1" x14ac:dyDescent="0.3"/>
  <cols>
    <col min="1" max="1" width="10.5703125" style="5" customWidth="1"/>
    <col min="2" max="2" width="64.5703125" style="5" customWidth="1"/>
    <col min="3" max="3" width="9.140625" style="9"/>
    <col min="4" max="4" width="11.85546875" style="5" customWidth="1"/>
    <col min="5" max="8" width="18.7109375" style="5" customWidth="1"/>
    <col min="9" max="9" width="18.28515625" style="5" hidden="1" customWidth="1" outlineLevel="1"/>
    <col min="10" max="10" width="15.28515625" style="5" hidden="1" customWidth="1" outlineLevel="1"/>
    <col min="11" max="11" width="16.85546875" style="5" hidden="1" customWidth="1" outlineLevel="1"/>
    <col min="12" max="12" width="9.140625" style="5" hidden="1" customWidth="1" outlineLevel="1"/>
    <col min="13" max="13" width="9.140625" style="5" collapsed="1"/>
    <col min="14" max="16384" width="9.140625" style="5"/>
  </cols>
  <sheetData>
    <row r="1" spans="1:10" x14ac:dyDescent="0.3">
      <c r="A1" s="124" t="s">
        <v>131</v>
      </c>
      <c r="B1" s="124"/>
      <c r="C1" s="124"/>
      <c r="D1" s="124"/>
      <c r="E1" s="124"/>
      <c r="F1" s="124"/>
      <c r="G1" s="124"/>
      <c r="H1" s="124"/>
    </row>
    <row r="2" spans="1:10" x14ac:dyDescent="0.3">
      <c r="C2" s="35"/>
    </row>
    <row r="3" spans="1:10" ht="18" customHeight="1" x14ac:dyDescent="0.3">
      <c r="A3" s="128" t="s">
        <v>132</v>
      </c>
      <c r="B3" s="128" t="s">
        <v>1</v>
      </c>
      <c r="C3" s="128" t="s">
        <v>133</v>
      </c>
      <c r="D3" s="128" t="s">
        <v>13</v>
      </c>
      <c r="E3" s="133" t="s">
        <v>26</v>
      </c>
      <c r="F3" s="133"/>
      <c r="G3" s="133"/>
      <c r="H3" s="133"/>
      <c r="I3" s="13"/>
      <c r="J3" s="13"/>
    </row>
    <row r="4" spans="1:10" ht="75" x14ac:dyDescent="0.3">
      <c r="A4" s="128"/>
      <c r="B4" s="128"/>
      <c r="C4" s="128"/>
      <c r="D4" s="128"/>
      <c r="E4" s="39" t="s">
        <v>28</v>
      </c>
      <c r="F4" s="39" t="s">
        <v>29</v>
      </c>
      <c r="G4" s="39" t="s">
        <v>30</v>
      </c>
      <c r="H4" s="39" t="s">
        <v>27</v>
      </c>
      <c r="I4" s="131" t="s">
        <v>196</v>
      </c>
      <c r="J4" s="132"/>
    </row>
    <row r="5" spans="1:10" x14ac:dyDescent="0.3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40">
        <v>6</v>
      </c>
      <c r="G5" s="40">
        <v>7</v>
      </c>
      <c r="H5" s="40">
        <v>8</v>
      </c>
      <c r="I5" s="133" t="s">
        <v>197</v>
      </c>
      <c r="J5" s="133"/>
    </row>
    <row r="6" spans="1:10" ht="28.5" customHeight="1" x14ac:dyDescent="0.3">
      <c r="A6" s="40">
        <v>1</v>
      </c>
      <c r="B6" s="72" t="s">
        <v>134</v>
      </c>
      <c r="C6" s="73">
        <v>26000</v>
      </c>
      <c r="D6" s="73" t="s">
        <v>5</v>
      </c>
      <c r="E6" s="74">
        <f>E7+E8+E9+E10</f>
        <v>5104468.47</v>
      </c>
      <c r="F6" s="74">
        <f t="shared" ref="F6:G6" si="0">F7+F8+F9+F10</f>
        <v>5599420</v>
      </c>
      <c r="G6" s="74">
        <f t="shared" si="0"/>
        <v>5536420</v>
      </c>
      <c r="H6" s="19"/>
      <c r="I6" s="13" t="s">
        <v>198</v>
      </c>
      <c r="J6" s="13" t="s">
        <v>199</v>
      </c>
    </row>
    <row r="7" spans="1:10" ht="207.75" customHeight="1" x14ac:dyDescent="0.3">
      <c r="A7" s="40" t="s">
        <v>135</v>
      </c>
      <c r="B7" s="16" t="s">
        <v>136</v>
      </c>
      <c r="C7" s="40">
        <v>26100</v>
      </c>
      <c r="D7" s="40" t="s">
        <v>5</v>
      </c>
      <c r="E7" s="19"/>
      <c r="F7" s="19"/>
      <c r="G7" s="19"/>
      <c r="H7" s="19"/>
    </row>
    <row r="8" spans="1:10" ht="75" x14ac:dyDescent="0.3">
      <c r="A8" s="40" t="s">
        <v>137</v>
      </c>
      <c r="B8" s="16" t="s">
        <v>138</v>
      </c>
      <c r="C8" s="40">
        <v>26200</v>
      </c>
      <c r="D8" s="40" t="s">
        <v>5</v>
      </c>
      <c r="E8" s="19"/>
      <c r="F8" s="19"/>
      <c r="G8" s="19"/>
      <c r="H8" s="19"/>
    </row>
    <row r="9" spans="1:10" ht="75" x14ac:dyDescent="0.3">
      <c r="A9" s="40" t="s">
        <v>139</v>
      </c>
      <c r="B9" s="75" t="s">
        <v>140</v>
      </c>
      <c r="C9" s="76">
        <v>26300</v>
      </c>
      <c r="D9" s="76" t="s">
        <v>5</v>
      </c>
      <c r="E9" s="77">
        <f>SUM(I9+J9)</f>
        <v>206609.08</v>
      </c>
      <c r="F9" s="77"/>
      <c r="G9" s="77"/>
      <c r="H9" s="19"/>
      <c r="I9" s="100">
        <f>SUM(I12+I22)</f>
        <v>206609.08</v>
      </c>
      <c r="J9" s="38"/>
    </row>
    <row r="10" spans="1:10" ht="75" x14ac:dyDescent="0.3">
      <c r="A10" s="40" t="s">
        <v>141</v>
      </c>
      <c r="B10" s="16" t="s">
        <v>146</v>
      </c>
      <c r="C10" s="40">
        <v>26400</v>
      </c>
      <c r="D10" s="40" t="s">
        <v>5</v>
      </c>
      <c r="E10" s="34">
        <f>E11+E14+E17+E18+E21</f>
        <v>4897859.3899999997</v>
      </c>
      <c r="F10" s="34">
        <f t="shared" ref="F10:G10" si="1">F11+F14+F17+F18+F21</f>
        <v>5599420</v>
      </c>
      <c r="G10" s="34">
        <f t="shared" si="1"/>
        <v>5536420</v>
      </c>
      <c r="H10" s="19"/>
      <c r="I10" s="99"/>
    </row>
    <row r="11" spans="1:10" ht="56.25" x14ac:dyDescent="0.3">
      <c r="A11" s="17" t="s">
        <v>143</v>
      </c>
      <c r="B11" s="21" t="s">
        <v>142</v>
      </c>
      <c r="C11" s="40">
        <v>26410</v>
      </c>
      <c r="D11" s="40" t="s">
        <v>5</v>
      </c>
      <c r="E11" s="34">
        <f>E12+E13</f>
        <v>4481041.92</v>
      </c>
      <c r="F11" s="34">
        <f t="shared" ref="F11:G11" si="2">F12+F13</f>
        <v>4838008</v>
      </c>
      <c r="G11" s="34">
        <f t="shared" si="2"/>
        <v>4838008</v>
      </c>
      <c r="H11" s="19"/>
      <c r="I11" s="99"/>
    </row>
    <row r="12" spans="1:10" ht="37.5" x14ac:dyDescent="0.3">
      <c r="A12" s="17" t="s">
        <v>144</v>
      </c>
      <c r="B12" s="21" t="s">
        <v>147</v>
      </c>
      <c r="C12" s="40">
        <v>26411</v>
      </c>
      <c r="D12" s="40" t="s">
        <v>5</v>
      </c>
      <c r="E12" s="34">
        <f>SUM('Раздел 1'!E113+'Раздел 1'!E119+'Раздел 1'!E125+'Раздел 1'!E128+'Раздел 1'!E145-E9+'Раздел 1'!E136+'Раздел 1'!E134)</f>
        <v>4481041.92</v>
      </c>
      <c r="F12" s="34">
        <f>SUM('Раздел 1'!F113+'Раздел 1'!F119+'Раздел 1'!F125+'Раздел 1'!F128+'Раздел 1'!F145-F9)</f>
        <v>4838008</v>
      </c>
      <c r="G12" s="34">
        <f>SUM('Раздел 1'!G113+'Раздел 1'!G119+'Раздел 1'!G125+'Раздел 1'!G128+'Раздел 1'!G145-G9)</f>
        <v>4838008</v>
      </c>
      <c r="H12" s="19"/>
      <c r="I12" s="100">
        <v>206609.08</v>
      </c>
      <c r="J12" s="38"/>
    </row>
    <row r="13" spans="1:10" x14ac:dyDescent="0.3">
      <c r="A13" s="17" t="s">
        <v>145</v>
      </c>
      <c r="B13" s="13" t="s">
        <v>148</v>
      </c>
      <c r="C13" s="40">
        <v>26412</v>
      </c>
      <c r="D13" s="40" t="s">
        <v>5</v>
      </c>
      <c r="E13" s="34">
        <v>0</v>
      </c>
      <c r="F13" s="34">
        <v>0</v>
      </c>
      <c r="G13" s="34">
        <v>0</v>
      </c>
      <c r="H13" s="19"/>
    </row>
    <row r="14" spans="1:10" ht="37.5" x14ac:dyDescent="0.3">
      <c r="A14" s="40" t="s">
        <v>149</v>
      </c>
      <c r="B14" s="75" t="s">
        <v>150</v>
      </c>
      <c r="C14" s="76">
        <v>26420</v>
      </c>
      <c r="D14" s="76" t="s">
        <v>5</v>
      </c>
      <c r="E14" s="77">
        <f>E15+E16</f>
        <v>0</v>
      </c>
      <c r="F14" s="77">
        <f t="shared" ref="F14:G14" si="3">F15+F16</f>
        <v>0</v>
      </c>
      <c r="G14" s="77">
        <f t="shared" si="3"/>
        <v>0</v>
      </c>
      <c r="H14" s="19"/>
    </row>
    <row r="15" spans="1:10" ht="37.5" x14ac:dyDescent="0.3">
      <c r="A15" s="40" t="s">
        <v>151</v>
      </c>
      <c r="B15" s="21" t="s">
        <v>147</v>
      </c>
      <c r="C15" s="40">
        <v>26421</v>
      </c>
      <c r="D15" s="40" t="s">
        <v>5</v>
      </c>
      <c r="E15" s="34">
        <f>SUM('Раздел 1'!E106)</f>
        <v>0</v>
      </c>
      <c r="F15" s="34">
        <f>SUM('Раздел 1'!F106)</f>
        <v>0</v>
      </c>
      <c r="G15" s="34">
        <f>SUM('Раздел 1'!G106)</f>
        <v>0</v>
      </c>
      <c r="H15" s="19"/>
    </row>
    <row r="16" spans="1:10" x14ac:dyDescent="0.3">
      <c r="A16" s="40" t="s">
        <v>152</v>
      </c>
      <c r="B16" s="13" t="s">
        <v>148</v>
      </c>
      <c r="C16" s="40">
        <v>26422</v>
      </c>
      <c r="D16" s="40" t="s">
        <v>5</v>
      </c>
      <c r="E16" s="34">
        <v>0</v>
      </c>
      <c r="F16" s="34">
        <v>0</v>
      </c>
      <c r="G16" s="34">
        <v>0</v>
      </c>
      <c r="H16" s="19"/>
    </row>
    <row r="17" spans="1:10" ht="37.5" x14ac:dyDescent="0.3">
      <c r="A17" s="40" t="s">
        <v>153</v>
      </c>
      <c r="B17" s="16" t="s">
        <v>154</v>
      </c>
      <c r="C17" s="40">
        <v>26430</v>
      </c>
      <c r="D17" s="40" t="s">
        <v>5</v>
      </c>
      <c r="E17" s="34"/>
      <c r="F17" s="34"/>
      <c r="G17" s="34"/>
      <c r="H17" s="19"/>
    </row>
    <row r="18" spans="1:10" ht="37.5" x14ac:dyDescent="0.3">
      <c r="A18" s="40" t="s">
        <v>155</v>
      </c>
      <c r="B18" s="16" t="s">
        <v>156</v>
      </c>
      <c r="C18" s="40">
        <v>26440</v>
      </c>
      <c r="D18" s="40" t="s">
        <v>5</v>
      </c>
      <c r="E18" s="34"/>
      <c r="F18" s="34"/>
      <c r="G18" s="34"/>
      <c r="H18" s="19"/>
    </row>
    <row r="19" spans="1:10" ht="37.5" x14ac:dyDescent="0.3">
      <c r="A19" s="40" t="s">
        <v>158</v>
      </c>
      <c r="B19" s="21" t="s">
        <v>147</v>
      </c>
      <c r="C19" s="40">
        <v>26441</v>
      </c>
      <c r="D19" s="40" t="s">
        <v>5</v>
      </c>
      <c r="E19" s="34"/>
      <c r="F19" s="34"/>
      <c r="G19" s="34"/>
      <c r="H19" s="19"/>
    </row>
    <row r="20" spans="1:10" x14ac:dyDescent="0.3">
      <c r="A20" s="40" t="s">
        <v>159</v>
      </c>
      <c r="B20" s="13" t="s">
        <v>148</v>
      </c>
      <c r="C20" s="40">
        <v>26442</v>
      </c>
      <c r="D20" s="40" t="s">
        <v>5</v>
      </c>
      <c r="E20" s="34"/>
      <c r="F20" s="34"/>
      <c r="G20" s="34"/>
      <c r="H20" s="19"/>
    </row>
    <row r="21" spans="1:10" x14ac:dyDescent="0.3">
      <c r="A21" s="17" t="s">
        <v>157</v>
      </c>
      <c r="B21" s="78" t="s">
        <v>192</v>
      </c>
      <c r="C21" s="76">
        <v>26450</v>
      </c>
      <c r="D21" s="76" t="s">
        <v>5</v>
      </c>
      <c r="E21" s="77">
        <f>E22+E23</f>
        <v>416817.47000000003</v>
      </c>
      <c r="F21" s="77">
        <f t="shared" ref="F21:G21" si="4">F22+F23</f>
        <v>761412</v>
      </c>
      <c r="G21" s="77">
        <f t="shared" si="4"/>
        <v>698412</v>
      </c>
      <c r="H21" s="19"/>
    </row>
    <row r="22" spans="1:10" ht="37.5" x14ac:dyDescent="0.3">
      <c r="A22" s="40" t="s">
        <v>160</v>
      </c>
      <c r="B22" s="21" t="s">
        <v>147</v>
      </c>
      <c r="C22" s="40">
        <v>26451</v>
      </c>
      <c r="D22" s="40" t="s">
        <v>5</v>
      </c>
      <c r="E22" s="34">
        <f>SUM('Раздел 1'!E114+'Раздел 1'!E117+'Раздел 1'!E120+'Раздел 1'!E126+'Раздел 1'!E129+2000)</f>
        <v>127453.07</v>
      </c>
      <c r="F22" s="34">
        <f>SUM('Раздел 1'!F114+'Раздел 1'!F117+'Раздел 1'!F120+'Раздел 1'!F126+'Раздел 1'!F129)</f>
        <v>583563</v>
      </c>
      <c r="G22" s="34">
        <f>SUM('Раздел 1'!G114+'Раздел 1'!G117+'Раздел 1'!G120+'Раздел 1'!G126+'Раздел 1'!G129)</f>
        <v>583563</v>
      </c>
      <c r="H22" s="19"/>
      <c r="I22" s="38">
        <v>0</v>
      </c>
      <c r="J22" s="38"/>
    </row>
    <row r="23" spans="1:10" x14ac:dyDescent="0.3">
      <c r="A23" s="40" t="s">
        <v>161</v>
      </c>
      <c r="B23" s="13" t="s">
        <v>148</v>
      </c>
      <c r="C23" s="40">
        <v>26452</v>
      </c>
      <c r="D23" s="40" t="s">
        <v>5</v>
      </c>
      <c r="E23" s="34">
        <f>SUM('Раздел 1'!E135+'Раздел 1'!E146+'Раздел 1'!E149+'Раздел 1'!E143-2000)</f>
        <v>289364.40000000002</v>
      </c>
      <c r="F23" s="34">
        <f>SUM('Раздел 1'!F135+'Раздел 1'!F146+'Раздел 1'!F149+'Раздел 1'!F143)</f>
        <v>177849</v>
      </c>
      <c r="G23" s="34">
        <f>SUM('Раздел 1'!G135+'Раздел 1'!G146+'Раздел 1'!G149)</f>
        <v>114849</v>
      </c>
      <c r="H23" s="19"/>
      <c r="I23" s="38"/>
      <c r="J23" s="38">
        <v>0</v>
      </c>
    </row>
    <row r="24" spans="1:10" ht="75" x14ac:dyDescent="0.3">
      <c r="A24" s="17" t="s">
        <v>162</v>
      </c>
      <c r="B24" s="69" t="s">
        <v>194</v>
      </c>
      <c r="C24" s="70">
        <v>26500</v>
      </c>
      <c r="D24" s="70" t="s">
        <v>5</v>
      </c>
      <c r="E24" s="71">
        <f>E26+E27+E28</f>
        <v>4608494.99</v>
      </c>
      <c r="F24" s="71">
        <f>F26+F27+F28</f>
        <v>5421571</v>
      </c>
      <c r="G24" s="71">
        <f>G26+G27+G28</f>
        <v>5421571</v>
      </c>
      <c r="H24" s="19"/>
    </row>
    <row r="25" spans="1:10" x14ac:dyDescent="0.3">
      <c r="A25" s="20"/>
      <c r="B25" s="37" t="s">
        <v>163</v>
      </c>
      <c r="C25" s="40">
        <v>26510</v>
      </c>
      <c r="D25" s="13"/>
      <c r="E25" s="34"/>
      <c r="F25" s="34"/>
      <c r="G25" s="34"/>
      <c r="H25" s="19"/>
    </row>
    <row r="26" spans="1:10" x14ac:dyDescent="0.3">
      <c r="A26" s="20"/>
      <c r="B26" s="37">
        <v>2020</v>
      </c>
      <c r="C26" s="40"/>
      <c r="D26" s="13"/>
      <c r="E26" s="34">
        <f>E11+E22</f>
        <v>4608494.99</v>
      </c>
      <c r="F26" s="34"/>
      <c r="G26" s="34"/>
      <c r="H26" s="19"/>
    </row>
    <row r="27" spans="1:10" x14ac:dyDescent="0.3">
      <c r="A27" s="20"/>
      <c r="B27" s="37">
        <v>2021</v>
      </c>
      <c r="C27" s="40"/>
      <c r="D27" s="13"/>
      <c r="E27" s="34"/>
      <c r="F27" s="34">
        <f>F11+F22</f>
        <v>5421571</v>
      </c>
      <c r="G27" s="34"/>
      <c r="H27" s="19"/>
    </row>
    <row r="28" spans="1:10" x14ac:dyDescent="0.3">
      <c r="A28" s="20"/>
      <c r="B28" s="37">
        <v>2022</v>
      </c>
      <c r="C28" s="40"/>
      <c r="D28" s="13"/>
      <c r="E28" s="34"/>
      <c r="F28" s="34"/>
      <c r="G28" s="34">
        <f>G11+G22+G15</f>
        <v>5421571</v>
      </c>
      <c r="H28" s="19"/>
    </row>
    <row r="29" spans="1:10" ht="75" x14ac:dyDescent="0.3">
      <c r="A29" s="17" t="s">
        <v>164</v>
      </c>
      <c r="B29" s="79" t="s">
        <v>195</v>
      </c>
      <c r="C29" s="80">
        <v>26600</v>
      </c>
      <c r="D29" s="80" t="s">
        <v>5</v>
      </c>
      <c r="E29" s="81">
        <f>E31+E32+E33</f>
        <v>289364.40000000002</v>
      </c>
      <c r="F29" s="81">
        <f t="shared" ref="F29:G29" si="5">F31+F32+F33</f>
        <v>177849</v>
      </c>
      <c r="G29" s="81">
        <f t="shared" si="5"/>
        <v>114849</v>
      </c>
      <c r="H29" s="19"/>
    </row>
    <row r="30" spans="1:10" x14ac:dyDescent="0.3">
      <c r="A30" s="20"/>
      <c r="B30" s="13" t="s">
        <v>163</v>
      </c>
      <c r="C30" s="40">
        <v>26610</v>
      </c>
      <c r="D30" s="13"/>
      <c r="E30" s="34"/>
      <c r="F30" s="34"/>
      <c r="G30" s="34"/>
      <c r="H30" s="19"/>
    </row>
    <row r="31" spans="1:10" x14ac:dyDescent="0.3">
      <c r="A31" s="20"/>
      <c r="B31" s="13">
        <v>2020</v>
      </c>
      <c r="C31" s="40"/>
      <c r="D31" s="13"/>
      <c r="E31" s="34">
        <f>E23</f>
        <v>289364.40000000002</v>
      </c>
      <c r="F31" s="34"/>
      <c r="G31" s="34"/>
      <c r="H31" s="19"/>
    </row>
    <row r="32" spans="1:10" x14ac:dyDescent="0.3">
      <c r="A32" s="20"/>
      <c r="B32" s="13">
        <v>2021</v>
      </c>
      <c r="C32" s="40"/>
      <c r="D32" s="13"/>
      <c r="E32" s="34"/>
      <c r="F32" s="34">
        <f>F23</f>
        <v>177849</v>
      </c>
      <c r="G32" s="34"/>
      <c r="H32" s="19"/>
    </row>
    <row r="33" spans="1:11" x14ac:dyDescent="0.3">
      <c r="A33" s="13"/>
      <c r="B33" s="13">
        <v>2020</v>
      </c>
      <c r="C33" s="40"/>
      <c r="D33" s="13"/>
      <c r="E33" s="34"/>
      <c r="F33" s="34"/>
      <c r="G33" s="34">
        <f>G23</f>
        <v>114849</v>
      </c>
      <c r="H33" s="19"/>
      <c r="I33" s="31">
        <f>SUM(E6)</f>
        <v>5104468.47</v>
      </c>
      <c r="J33" s="31">
        <f>SUM(F6)</f>
        <v>5599420</v>
      </c>
      <c r="K33" s="31">
        <f>SUM(G6)</f>
        <v>5536420</v>
      </c>
    </row>
    <row r="34" spans="1:11" x14ac:dyDescent="0.3">
      <c r="A34" s="102"/>
      <c r="B34" s="102"/>
      <c r="C34" s="103"/>
      <c r="D34" s="102"/>
      <c r="E34" s="104"/>
      <c r="F34" s="104"/>
      <c r="G34" s="42"/>
      <c r="H34" s="43"/>
      <c r="I34" s="31">
        <f>SUM('Раздел 1'!E96)</f>
        <v>5104468.47</v>
      </c>
      <c r="J34" s="31">
        <f>SUM('Раздел 1'!F96)</f>
        <v>5599420</v>
      </c>
      <c r="K34" s="31">
        <f>SUM('Раздел 1'!G96)</f>
        <v>5599420</v>
      </c>
    </row>
    <row r="35" spans="1:11" x14ac:dyDescent="0.3">
      <c r="A35" s="102"/>
      <c r="B35" s="102"/>
      <c r="C35" s="103"/>
      <c r="D35" s="102"/>
      <c r="E35" s="104"/>
      <c r="F35" s="104"/>
      <c r="G35" s="42"/>
      <c r="H35" s="43"/>
    </row>
    <row r="36" spans="1:11" x14ac:dyDescent="0.3">
      <c r="A36" s="102"/>
      <c r="B36" s="102"/>
      <c r="C36" s="103"/>
      <c r="D36" s="102"/>
      <c r="E36" s="104"/>
      <c r="F36" s="104"/>
      <c r="G36" s="42"/>
      <c r="H36" s="43"/>
    </row>
    <row r="37" spans="1:11" x14ac:dyDescent="0.3">
      <c r="A37" s="102"/>
      <c r="B37" s="102"/>
      <c r="C37" s="103"/>
      <c r="D37" s="102"/>
      <c r="E37" s="104"/>
      <c r="F37" s="104"/>
      <c r="G37" s="42"/>
      <c r="H37" s="43"/>
    </row>
    <row r="38" spans="1:11" x14ac:dyDescent="0.3">
      <c r="A38" s="105" t="s">
        <v>210</v>
      </c>
      <c r="B38" s="105"/>
      <c r="C38" s="130" t="s">
        <v>211</v>
      </c>
      <c r="D38" s="130"/>
      <c r="E38" s="130"/>
      <c r="F38" s="106"/>
      <c r="G38" s="32"/>
    </row>
    <row r="39" spans="1:11" x14ac:dyDescent="0.3">
      <c r="A39" s="105"/>
      <c r="B39" s="107"/>
      <c r="C39" s="108"/>
      <c r="D39" s="105"/>
      <c r="E39" s="105"/>
      <c r="F39" s="105"/>
    </row>
    <row r="40" spans="1:11" x14ac:dyDescent="0.3">
      <c r="A40" s="105"/>
      <c r="B40" s="105"/>
      <c r="C40" s="109"/>
      <c r="D40" s="105"/>
      <c r="E40" s="105"/>
      <c r="F40" s="105"/>
    </row>
    <row r="41" spans="1:11" x14ac:dyDescent="0.3">
      <c r="A41" s="105" t="s">
        <v>193</v>
      </c>
      <c r="B41" s="105"/>
      <c r="C41" s="109" t="s">
        <v>191</v>
      </c>
      <c r="D41" s="105"/>
      <c r="E41" s="105"/>
      <c r="F41" s="105"/>
    </row>
    <row r="42" spans="1:11" x14ac:dyDescent="0.3">
      <c r="A42" s="105"/>
      <c r="B42" s="107"/>
      <c r="C42" s="110"/>
      <c r="D42" s="105"/>
      <c r="E42" s="105"/>
      <c r="F42" s="105"/>
    </row>
    <row r="43" spans="1:11" x14ac:dyDescent="0.3">
      <c r="A43" s="105"/>
      <c r="B43" s="105"/>
      <c r="C43" s="109"/>
      <c r="D43" s="105"/>
      <c r="E43" s="105"/>
      <c r="F43" s="105"/>
    </row>
    <row r="44" spans="1:11" x14ac:dyDescent="0.3">
      <c r="A44" s="105"/>
      <c r="B44" s="105"/>
      <c r="C44" s="109"/>
      <c r="D44" s="105"/>
      <c r="E44" s="105"/>
      <c r="F44" s="105"/>
    </row>
    <row r="45" spans="1:11" x14ac:dyDescent="0.3">
      <c r="A45" s="105"/>
      <c r="B45" s="105"/>
      <c r="C45" s="109"/>
      <c r="D45" s="105"/>
      <c r="E45" s="105"/>
      <c r="F45" s="105"/>
    </row>
    <row r="46" spans="1:11" x14ac:dyDescent="0.3">
      <c r="A46" s="105"/>
      <c r="B46" s="105"/>
      <c r="C46" s="109"/>
      <c r="D46" s="105"/>
      <c r="E46" s="105"/>
      <c r="F46" s="105"/>
    </row>
    <row r="47" spans="1:11" x14ac:dyDescent="0.3">
      <c r="A47" s="105"/>
      <c r="B47" s="105"/>
      <c r="C47" s="109"/>
      <c r="D47" s="105"/>
      <c r="E47" s="105"/>
      <c r="F47" s="105"/>
    </row>
    <row r="48" spans="1:11" x14ac:dyDescent="0.3">
      <c r="A48" s="105"/>
      <c r="B48" s="105"/>
      <c r="C48" s="109"/>
      <c r="D48" s="105"/>
      <c r="E48" s="105"/>
      <c r="F48" s="105"/>
    </row>
  </sheetData>
  <mergeCells count="9">
    <mergeCell ref="C38:E38"/>
    <mergeCell ref="I4:J4"/>
    <mergeCell ref="I5:J5"/>
    <mergeCell ref="A1:H1"/>
    <mergeCell ref="E3:H3"/>
    <mergeCell ref="A3:A4"/>
    <mergeCell ref="B3:B4"/>
    <mergeCell ref="C3:C4"/>
    <mergeCell ref="D3:D4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титульный </vt:lpstr>
      <vt:lpstr>Раздел 1</vt:lpstr>
      <vt:lpstr>Раздел 2</vt:lpstr>
      <vt:lpstr>'Раздел 1'!Заголовки_для_печати</vt:lpstr>
      <vt:lpstr>'Раздел 2'!Заголовки_для_печати</vt:lpstr>
      <vt:lpstr>'Раздел 1'!Область_печати</vt:lpstr>
      <vt:lpstr>'титульный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2021-03-15T11:37:14Z</dcterms:modified>
</cp:coreProperties>
</file>